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DieseArbeitsmappe" defaultThemeVersion="124226"/>
  <mc:AlternateContent xmlns:mc="http://schemas.openxmlformats.org/markup-compatibility/2006">
    <mc:Choice Requires="x15">
      <x15ac:absPath xmlns:x15ac="http://schemas.microsoft.com/office/spreadsheetml/2010/11/ac" url="K:\04_Marketing\01_Allgemein\Klima_aktiv\"/>
    </mc:Choice>
  </mc:AlternateContent>
  <workbookProtection workbookAlgorithmName="SHA-512" workbookHashValue="BECopF6zx+YsaGRqekjILM4MALGUguqZO3RaokEImQ4ip8XOf0I4W3g9/9jKXS5sER9+uQ0GnOQ7AgT7UXtp/Q==" workbookSaltValue="qri5uuqHPuR4Db4CmDarNA==" workbookSpinCount="100000" lockStructure="1"/>
  <bookViews>
    <workbookView xWindow="2921" yWindow="1956" windowWidth="4510" windowHeight="4211" tabRatio="801" firstSheet="2" activeTab="2"/>
  </bookViews>
  <sheets>
    <sheet name="Aktualisierungen" sheetId="21" state="hidden" r:id="rId1"/>
    <sheet name="Erläuterungen" sheetId="20" state="hidden" r:id="rId2"/>
    <sheet name="Eingabe" sheetId="1" r:id="rId3"/>
    <sheet name="Daten-Elektrofahrzeug" sheetId="17" r:id="rId4"/>
    <sheet name="Daten-Benzin-Dieselfahrzeug" sheetId="23" r:id="rId5"/>
    <sheet name="Berechnungen" sheetId="6" r:id="rId6"/>
    <sheet name="Förderungen" sheetId="10" state="hidden" r:id="rId7"/>
    <sheet name="Wetterdaten" sheetId="9" state="hidden" r:id="rId8"/>
    <sheet name="PLZ-Zuordnung" sheetId="11" state="hidden" r:id="rId9"/>
    <sheet name="Strompreis" sheetId="19" state="hidden" r:id="rId10"/>
    <sheet name="Motorbez. Versicherungssteuer" sheetId="25" state="hidden" r:id="rId11"/>
    <sheet name="Enamo-Tarif" sheetId="26" state="hidden" r:id="rId12"/>
    <sheet name="topprodukte-elektro" sheetId="28" state="hidden" r:id="rId13"/>
    <sheet name="topprodukte-benzin-diesel" sheetId="29" state="hidden" r:id="rId14"/>
  </sheets>
  <functionGroups builtInGroupCount="18"/>
  <definedNames>
    <definedName name="_xlnm._FilterDatabase" localSheetId="4" hidden="1">'Daten-Benzin-Dieselfahrzeug'!$A$4:$AF$70</definedName>
    <definedName name="_xlnm._FilterDatabase" localSheetId="3" hidden="1">'Daten-Elektrofahrzeug'!$A$4:$M$209</definedName>
    <definedName name="_xlnm._FilterDatabase" localSheetId="2" hidden="1">Eingabe!$C$121:$C$122</definedName>
    <definedName name="_xlnm._FilterDatabase" localSheetId="8" hidden="1">'PLZ-Zuordnung'!$A$2:$G$2460</definedName>
    <definedName name="_xlnm._FilterDatabase" localSheetId="9" hidden="1">Strompreis!#REF!</definedName>
    <definedName name="Bild">INDEX(OFFSET(Nummern,0,11),MATCH(Eingabe!$G$12,Nummern,0))</definedName>
    <definedName name="_xlnm.Print_Area" localSheetId="0">Aktualisierungen!$A$1:$I$58</definedName>
    <definedName name="_xlnm.Print_Area" localSheetId="5">Berechnungen!$A$1:$L$38</definedName>
    <definedName name="_xlnm.Print_Area" localSheetId="4">'Daten-Benzin-Dieselfahrzeug'!$A$1:$L$206</definedName>
    <definedName name="_xlnm.Print_Area" localSheetId="3">'Daten-Elektrofahrzeug'!$A$1:$N$233</definedName>
    <definedName name="_xlnm.Print_Area" localSheetId="2">Eingabe!$A$1:$AC$107</definedName>
    <definedName name="_xlnm.Print_Area" localSheetId="1">Erläuterungen!$A$1:$I$205</definedName>
    <definedName name="_xlnm.Print_Area" localSheetId="6">Förderungen!$A$1:$R$114,Förderungen!$S$1:$AC$42</definedName>
    <definedName name="_xlnm.Print_Area" localSheetId="8">'PLZ-Zuordnung'!$A$65536</definedName>
    <definedName name="_xlnm.Print_Area" localSheetId="9">Strompreis!$A$65536</definedName>
    <definedName name="_xlnm.Print_Area" localSheetId="7">Wetterdaten!$A$65536</definedName>
    <definedName name="Nummern">'Daten-Elektrofahrzeug'!$C$22:$C$209</definedName>
    <definedName name="OLE_LINK1" localSheetId="0">Aktualisierungen!$D$21</definedName>
    <definedName name="OLE_LINK1" localSheetId="1">Erläuterungen!#REF!</definedName>
    <definedName name="OLE_LINK15" localSheetId="0">Aktualisierungen!$L$15</definedName>
    <definedName name="OLE_LINK17" localSheetId="6">Förderungen!$T$36</definedName>
    <definedName name="OLE_LINK27" localSheetId="0">Aktualisierungen!$B$13</definedName>
    <definedName name="OLE_LINK3" localSheetId="0">Aktualisierungen!$A$14</definedName>
    <definedName name="OLE_LINK3" localSheetId="1">Erläuterungen!$A$14</definedName>
    <definedName name="OLE_LINK38" localSheetId="2">Eingabe!$D$93</definedName>
    <definedName name="OLE_LINK4" localSheetId="1">Erläuterungen!$N$104</definedName>
    <definedName name="OLE_LINK8" localSheetId="1">Erläuterungen!$N$105</definedName>
  </definedNames>
  <calcPr calcId="162913"/>
</workbook>
</file>

<file path=xl/calcChain.xml><?xml version="1.0" encoding="utf-8"?>
<calcChain xmlns="http://schemas.openxmlformats.org/spreadsheetml/2006/main">
  <c r="J244" i="23" l="1"/>
  <c r="K244" i="23"/>
  <c r="J245" i="23"/>
  <c r="K245" i="23" s="1"/>
  <c r="J246" i="23"/>
  <c r="K246" i="23"/>
  <c r="J247" i="23"/>
  <c r="K247" i="23"/>
  <c r="J248" i="23"/>
  <c r="K248" i="23"/>
  <c r="J249" i="23"/>
  <c r="K249" i="23" s="1"/>
  <c r="J250" i="23"/>
  <c r="K250" i="23"/>
  <c r="J251" i="23"/>
  <c r="K251" i="23"/>
  <c r="J252" i="23"/>
  <c r="K252" i="23"/>
  <c r="J253" i="23"/>
  <c r="K253" i="23" s="1"/>
  <c r="A185" i="23"/>
  <c r="B185" i="23"/>
  <c r="D185" i="23"/>
  <c r="E185" i="23"/>
  <c r="G185" i="23"/>
  <c r="H185" i="23"/>
  <c r="I185" i="23"/>
  <c r="A186" i="23"/>
  <c r="B186" i="23"/>
  <c r="D186" i="23"/>
  <c r="E186" i="23"/>
  <c r="G186" i="23"/>
  <c r="H186" i="23"/>
  <c r="I186" i="23"/>
  <c r="A187" i="23"/>
  <c r="B187" i="23"/>
  <c r="D187" i="23"/>
  <c r="E187" i="23"/>
  <c r="G187" i="23"/>
  <c r="H187" i="23"/>
  <c r="I187" i="23"/>
  <c r="A188" i="23"/>
  <c r="B188" i="23"/>
  <c r="D188" i="23"/>
  <c r="E188" i="23"/>
  <c r="G188" i="23"/>
  <c r="H188" i="23"/>
  <c r="I188" i="23"/>
  <c r="A189" i="23"/>
  <c r="B189" i="23"/>
  <c r="D189" i="23"/>
  <c r="E189" i="23"/>
  <c r="G189" i="23"/>
  <c r="H189" i="23"/>
  <c r="I189" i="23"/>
  <c r="A184" i="23"/>
  <c r="B184" i="23"/>
  <c r="D184" i="23"/>
  <c r="E184" i="23"/>
  <c r="G184" i="23"/>
  <c r="H184" i="23"/>
  <c r="I184" i="23"/>
  <c r="A152" i="23"/>
  <c r="B152" i="23"/>
  <c r="D152" i="23"/>
  <c r="E152" i="23"/>
  <c r="G152" i="23"/>
  <c r="H152" i="23"/>
  <c r="I152" i="23"/>
  <c r="A153" i="23"/>
  <c r="B153" i="23"/>
  <c r="D153" i="23"/>
  <c r="E153" i="23"/>
  <c r="G153" i="23"/>
  <c r="H153" i="23"/>
  <c r="I153" i="23"/>
  <c r="A154" i="23"/>
  <c r="B154" i="23"/>
  <c r="D154" i="23"/>
  <c r="E154" i="23"/>
  <c r="G154" i="23"/>
  <c r="H154" i="23"/>
  <c r="I154" i="23"/>
  <c r="A155" i="23"/>
  <c r="B155" i="23"/>
  <c r="D155" i="23"/>
  <c r="E155" i="23"/>
  <c r="G155" i="23"/>
  <c r="H155" i="23"/>
  <c r="I155" i="23"/>
  <c r="A156" i="23"/>
  <c r="B156" i="23"/>
  <c r="D156" i="23"/>
  <c r="E156" i="23"/>
  <c r="G156" i="23"/>
  <c r="H156" i="23"/>
  <c r="I156" i="23"/>
  <c r="A157" i="23"/>
  <c r="B157" i="23"/>
  <c r="D157" i="23"/>
  <c r="E157" i="23"/>
  <c r="G157" i="23"/>
  <c r="H157" i="23"/>
  <c r="I157" i="23"/>
  <c r="A158" i="23"/>
  <c r="B158" i="23"/>
  <c r="D158" i="23"/>
  <c r="E158" i="23"/>
  <c r="G158" i="23"/>
  <c r="H158" i="23"/>
  <c r="I158" i="23"/>
  <c r="A159" i="23"/>
  <c r="B159" i="23"/>
  <c r="D159" i="23"/>
  <c r="E159" i="23"/>
  <c r="G159" i="23"/>
  <c r="H159" i="23"/>
  <c r="I159" i="23"/>
  <c r="A160" i="23"/>
  <c r="B160" i="23"/>
  <c r="D160" i="23"/>
  <c r="E160" i="23"/>
  <c r="G160" i="23"/>
  <c r="H160" i="23"/>
  <c r="I160" i="23"/>
  <c r="A161" i="23"/>
  <c r="B161" i="23"/>
  <c r="D161" i="23"/>
  <c r="E161" i="23"/>
  <c r="G161" i="23"/>
  <c r="H161" i="23"/>
  <c r="I161" i="23"/>
  <c r="A162" i="23"/>
  <c r="B162" i="23"/>
  <c r="D162" i="23"/>
  <c r="E162" i="23"/>
  <c r="G162" i="23"/>
  <c r="H162" i="23"/>
  <c r="I162" i="23"/>
  <c r="A163" i="23"/>
  <c r="B163" i="23"/>
  <c r="D163" i="23"/>
  <c r="E163" i="23"/>
  <c r="G163" i="23"/>
  <c r="H163" i="23"/>
  <c r="I163" i="23"/>
  <c r="A164" i="23"/>
  <c r="B164" i="23"/>
  <c r="D164" i="23"/>
  <c r="E164" i="23"/>
  <c r="G164" i="23"/>
  <c r="H164" i="23"/>
  <c r="I164" i="23"/>
  <c r="A165" i="23"/>
  <c r="B165" i="23"/>
  <c r="D165" i="23"/>
  <c r="E165" i="23"/>
  <c r="G165" i="23"/>
  <c r="H165" i="23"/>
  <c r="I165" i="23"/>
  <c r="A166" i="23"/>
  <c r="B166" i="23"/>
  <c r="D166" i="23"/>
  <c r="E166" i="23"/>
  <c r="G166" i="23"/>
  <c r="H166" i="23"/>
  <c r="I166" i="23"/>
  <c r="A167" i="23"/>
  <c r="B167" i="23"/>
  <c r="D167" i="23"/>
  <c r="E167" i="23"/>
  <c r="G167" i="23"/>
  <c r="H167" i="23"/>
  <c r="I167" i="23"/>
  <c r="A168" i="23"/>
  <c r="B168" i="23"/>
  <c r="D168" i="23"/>
  <c r="E168" i="23"/>
  <c r="G168" i="23"/>
  <c r="H168" i="23"/>
  <c r="I168" i="23"/>
  <c r="A169" i="23"/>
  <c r="C169" i="23" s="1"/>
  <c r="B169" i="23"/>
  <c r="D169" i="23"/>
  <c r="E169" i="23"/>
  <c r="G169" i="23"/>
  <c r="H169" i="23"/>
  <c r="I169" i="23"/>
  <c r="A170" i="23"/>
  <c r="B170" i="23"/>
  <c r="D170" i="23"/>
  <c r="E170" i="23"/>
  <c r="G170" i="23"/>
  <c r="H170" i="23"/>
  <c r="I170" i="23"/>
  <c r="A171" i="23"/>
  <c r="B171" i="23"/>
  <c r="D171" i="23"/>
  <c r="E171" i="23"/>
  <c r="G171" i="23"/>
  <c r="H171" i="23"/>
  <c r="I171" i="23"/>
  <c r="A172" i="23"/>
  <c r="B172" i="23"/>
  <c r="D172" i="23"/>
  <c r="E172" i="23"/>
  <c r="G172" i="23"/>
  <c r="H172" i="23"/>
  <c r="I172" i="23"/>
  <c r="A173" i="23"/>
  <c r="B173" i="23"/>
  <c r="D173" i="23"/>
  <c r="E173" i="23"/>
  <c r="G173" i="23"/>
  <c r="H173" i="23"/>
  <c r="I173" i="23"/>
  <c r="A174" i="23"/>
  <c r="B174" i="23"/>
  <c r="D174" i="23"/>
  <c r="E174" i="23"/>
  <c r="G174" i="23"/>
  <c r="H174" i="23"/>
  <c r="I174" i="23"/>
  <c r="A175" i="23"/>
  <c r="B175" i="23"/>
  <c r="D175" i="23"/>
  <c r="E175" i="23"/>
  <c r="G175" i="23"/>
  <c r="H175" i="23"/>
  <c r="I175" i="23"/>
  <c r="A176" i="23"/>
  <c r="B176" i="23"/>
  <c r="D176" i="23"/>
  <c r="E176" i="23"/>
  <c r="G176" i="23"/>
  <c r="H176" i="23"/>
  <c r="I176" i="23"/>
  <c r="A177" i="23"/>
  <c r="B177" i="23"/>
  <c r="D177" i="23"/>
  <c r="E177" i="23"/>
  <c r="G177" i="23"/>
  <c r="H177" i="23"/>
  <c r="I177" i="23"/>
  <c r="A178" i="23"/>
  <c r="B178" i="23"/>
  <c r="D178" i="23"/>
  <c r="E178" i="23"/>
  <c r="G178" i="23"/>
  <c r="H178" i="23"/>
  <c r="I178" i="23"/>
  <c r="A179" i="23"/>
  <c r="B179" i="23"/>
  <c r="D179" i="23"/>
  <c r="E179" i="23"/>
  <c r="G179" i="23"/>
  <c r="H179" i="23"/>
  <c r="I179" i="23"/>
  <c r="A180" i="23"/>
  <c r="B180" i="23"/>
  <c r="D180" i="23"/>
  <c r="E180" i="23"/>
  <c r="G180" i="23"/>
  <c r="H180" i="23"/>
  <c r="I180" i="23"/>
  <c r="A181" i="23"/>
  <c r="B181" i="23"/>
  <c r="D181" i="23"/>
  <c r="E181" i="23"/>
  <c r="G181" i="23"/>
  <c r="H181" i="23"/>
  <c r="I181" i="23"/>
  <c r="A182" i="23"/>
  <c r="B182" i="23"/>
  <c r="D182" i="23"/>
  <c r="E182" i="23"/>
  <c r="G182" i="23"/>
  <c r="H182" i="23"/>
  <c r="I182" i="23"/>
  <c r="A183" i="23"/>
  <c r="B183" i="23"/>
  <c r="D183" i="23"/>
  <c r="E183" i="23"/>
  <c r="G183" i="23"/>
  <c r="H183" i="23"/>
  <c r="I183" i="23"/>
  <c r="C187" i="23" l="1"/>
  <c r="C173" i="23"/>
  <c r="C165" i="23"/>
  <c r="C157" i="23"/>
  <c r="C189" i="23"/>
  <c r="C185" i="23"/>
  <c r="C181" i="23"/>
  <c r="C170" i="23"/>
  <c r="C188" i="23"/>
  <c r="C162" i="23"/>
  <c r="C161" i="23"/>
  <c r="C153" i="23"/>
  <c r="C186" i="23"/>
  <c r="C159" i="23"/>
  <c r="C167" i="23"/>
  <c r="C166" i="23"/>
  <c r="C164" i="23"/>
  <c r="C163" i="23"/>
  <c r="C160" i="23"/>
  <c r="C156" i="23"/>
  <c r="C178" i="23"/>
  <c r="C174" i="23"/>
  <c r="C172" i="23"/>
  <c r="C171" i="23"/>
  <c r="C168" i="23"/>
  <c r="C155" i="23"/>
  <c r="C158" i="23"/>
  <c r="C182" i="23"/>
  <c r="C180" i="23"/>
  <c r="C179" i="23"/>
  <c r="C176" i="23"/>
  <c r="C154" i="23"/>
  <c r="C152" i="23"/>
  <c r="C184" i="23"/>
  <c r="C175" i="23"/>
  <c r="C177" i="23"/>
  <c r="C183" i="23"/>
  <c r="C207" i="17"/>
  <c r="C226" i="17" l="1"/>
  <c r="C225" i="17"/>
  <c r="C224" i="17"/>
  <c r="C223" i="17"/>
  <c r="C222" i="17"/>
  <c r="C221" i="17"/>
  <c r="C220" i="17"/>
  <c r="C219" i="17"/>
  <c r="C218" i="17"/>
  <c r="C217" i="17"/>
  <c r="C216" i="17"/>
  <c r="C215" i="17"/>
  <c r="C214" i="17"/>
  <c r="C213" i="17"/>
  <c r="C212" i="17"/>
  <c r="C232" i="17" l="1"/>
  <c r="C231" i="17"/>
  <c r="C230" i="17"/>
  <c r="C229" i="17"/>
  <c r="C228" i="17"/>
  <c r="C227" i="17"/>
  <c r="C198" i="17"/>
  <c r="C197" i="17"/>
  <c r="C193" i="17"/>
  <c r="C192" i="17"/>
  <c r="C191" i="17"/>
  <c r="C190" i="17"/>
  <c r="AV189" i="17"/>
  <c r="C189" i="17"/>
  <c r="AV188" i="17"/>
  <c r="C188" i="17"/>
  <c r="C187" i="17"/>
  <c r="AV185" i="17"/>
  <c r="C185" i="17"/>
  <c r="C183" i="17"/>
  <c r="C181" i="17"/>
  <c r="C179" i="17"/>
  <c r="C176" i="17"/>
  <c r="C175" i="17"/>
  <c r="AV174" i="17"/>
  <c r="AU174" i="17"/>
  <c r="AT174" i="17"/>
  <c r="AS174" i="17"/>
  <c r="AR174" i="17"/>
  <c r="AQ174" i="17"/>
  <c r="C174" i="17"/>
  <c r="AV173" i="17"/>
  <c r="AU173" i="17"/>
  <c r="AT173" i="17"/>
  <c r="AS173" i="17"/>
  <c r="AR173" i="17"/>
  <c r="AQ173" i="17"/>
  <c r="C173" i="17"/>
  <c r="C169" i="17"/>
  <c r="C164" i="17" l="1"/>
  <c r="C163" i="17"/>
  <c r="C162" i="17"/>
  <c r="C161" i="17"/>
  <c r="C160" i="17"/>
  <c r="C159" i="17"/>
  <c r="C158" i="17"/>
  <c r="C157" i="17"/>
  <c r="C156" i="17"/>
  <c r="C155" i="17"/>
  <c r="C154" i="17"/>
  <c r="C153" i="17"/>
  <c r="C152" i="17"/>
  <c r="C149" i="17"/>
  <c r="C147" i="17"/>
  <c r="C143" i="17"/>
  <c r="C141" i="17"/>
  <c r="C139" i="17"/>
  <c r="C138" i="17"/>
  <c r="C137" i="17"/>
  <c r="C136" i="17"/>
  <c r="C135" i="17"/>
  <c r="C134" i="17"/>
  <c r="C133" i="17"/>
  <c r="C132" i="17"/>
  <c r="C131" i="17"/>
  <c r="C130" i="17"/>
  <c r="C129" i="17"/>
  <c r="C128" i="17"/>
  <c r="C127" i="17"/>
  <c r="C126" i="17"/>
  <c r="C125" i="17"/>
  <c r="C121" i="17"/>
  <c r="C120" i="17"/>
  <c r="C119" i="17"/>
  <c r="C124" i="17"/>
  <c r="C123" i="17"/>
  <c r="C122" i="17"/>
  <c r="C118" i="17"/>
  <c r="C117" i="17"/>
  <c r="C116" i="17"/>
  <c r="C115" i="17"/>
  <c r="C114" i="17"/>
  <c r="C113" i="17"/>
  <c r="C112" i="17"/>
  <c r="C111" i="17"/>
  <c r="C110" i="17"/>
  <c r="C106" i="17"/>
  <c r="C102" i="17"/>
  <c r="C101" i="17"/>
  <c r="C100" i="17"/>
  <c r="C96" i="17"/>
  <c r="C95" i="17"/>
  <c r="C94" i="17"/>
  <c r="C91" i="17"/>
  <c r="C92" i="17"/>
  <c r="C71" i="17" l="1"/>
  <c r="C58" i="17" l="1"/>
  <c r="C57" i="17"/>
  <c r="C56" i="17"/>
  <c r="C55" i="17"/>
  <c r="C54" i="17"/>
  <c r="C53" i="17"/>
  <c r="C52" i="17"/>
  <c r="C51" i="17"/>
  <c r="C50" i="17"/>
  <c r="C49" i="17"/>
  <c r="C48" i="17"/>
  <c r="C47" i="17"/>
  <c r="C46" i="17"/>
  <c r="C45" i="17"/>
  <c r="C42" i="17"/>
  <c r="C41" i="17"/>
  <c r="C40" i="17"/>
  <c r="C39" i="17"/>
  <c r="C38" i="17"/>
  <c r="C37" i="17"/>
  <c r="C36" i="17"/>
  <c r="C35" i="17"/>
  <c r="C34" i="17"/>
  <c r="C33" i="17"/>
  <c r="C32" i="17"/>
  <c r="C31" i="17"/>
  <c r="C30" i="17"/>
  <c r="C29" i="17"/>
  <c r="C28" i="17"/>
  <c r="C27" i="17"/>
  <c r="C25" i="17"/>
  <c r="C24" i="17"/>
  <c r="C21" i="17"/>
  <c r="C16" i="17" l="1"/>
  <c r="C18" i="17"/>
  <c r="C20" i="17"/>
  <c r="C17" i="17"/>
  <c r="C19" i="17"/>
  <c r="C15" i="17"/>
  <c r="C14" i="17"/>
  <c r="C13" i="17"/>
  <c r="C12" i="17"/>
  <c r="C11" i="17"/>
  <c r="C10" i="17"/>
  <c r="O5" i="25" l="1"/>
  <c r="O3" i="25"/>
  <c r="U4" i="23"/>
  <c r="J187" i="23" l="1"/>
  <c r="K187" i="23" s="1"/>
  <c r="J188" i="23"/>
  <c r="K188" i="23" s="1"/>
  <c r="J189" i="23"/>
  <c r="K189" i="23" s="1"/>
  <c r="J186" i="23"/>
  <c r="K186" i="23" s="1"/>
  <c r="J185" i="23"/>
  <c r="K185" i="23" s="1"/>
  <c r="J156" i="23"/>
  <c r="K156" i="23" s="1"/>
  <c r="J160" i="23"/>
  <c r="K160" i="23" s="1"/>
  <c r="J152" i="23"/>
  <c r="K152" i="23" s="1"/>
  <c r="J178" i="23"/>
  <c r="K178" i="23" s="1"/>
  <c r="J184" i="23"/>
  <c r="K184" i="23" s="1"/>
  <c r="J173" i="23"/>
  <c r="K173" i="23" s="1"/>
  <c r="J175" i="23"/>
  <c r="K175" i="23" s="1"/>
  <c r="J169" i="23"/>
  <c r="K169" i="23" s="1"/>
  <c r="J174" i="23"/>
  <c r="K174" i="23" s="1"/>
  <c r="J183" i="23"/>
  <c r="K183" i="23" s="1"/>
  <c r="J164" i="23"/>
  <c r="K164" i="23" s="1"/>
  <c r="J167" i="23"/>
  <c r="K167" i="23" s="1"/>
  <c r="J182" i="23"/>
  <c r="K182" i="23" s="1"/>
  <c r="J179" i="23"/>
  <c r="K179" i="23" s="1"/>
  <c r="J161" i="23"/>
  <c r="K161" i="23" s="1"/>
  <c r="J162" i="23"/>
  <c r="K162" i="23" s="1"/>
  <c r="J171" i="23"/>
  <c r="K171" i="23" s="1"/>
  <c r="J159" i="23"/>
  <c r="K159" i="23" s="1"/>
  <c r="J158" i="23"/>
  <c r="K158" i="23" s="1"/>
  <c r="J154" i="23"/>
  <c r="K154" i="23" s="1"/>
  <c r="J168" i="23"/>
  <c r="K168" i="23" s="1"/>
  <c r="J180" i="23"/>
  <c r="K180" i="23" s="1"/>
  <c r="J170" i="23"/>
  <c r="K170" i="23" s="1"/>
  <c r="J172" i="23"/>
  <c r="K172" i="23" s="1"/>
  <c r="J176" i="23"/>
  <c r="K176" i="23" s="1"/>
  <c r="J157" i="23"/>
  <c r="K157" i="23" s="1"/>
  <c r="J165" i="23"/>
  <c r="K165" i="23" s="1"/>
  <c r="J166" i="23"/>
  <c r="K166" i="23" s="1"/>
  <c r="J163" i="23"/>
  <c r="K163" i="23" s="1"/>
  <c r="J177" i="23"/>
  <c r="K177" i="23" s="1"/>
  <c r="J153" i="23"/>
  <c r="K153" i="23" s="1"/>
  <c r="J155" i="23"/>
  <c r="K155" i="23" s="1"/>
  <c r="J181" i="23"/>
  <c r="K181" i="23" s="1"/>
  <c r="C165" i="17"/>
  <c r="C73" i="17"/>
  <c r="C74" i="17"/>
  <c r="C72" i="17"/>
  <c r="C66" i="17" l="1"/>
  <c r="C67" i="17"/>
  <c r="C68" i="17"/>
  <c r="C69" i="17"/>
  <c r="C70" i="17"/>
  <c r="C65" i="17"/>
  <c r="J191" i="23" l="1"/>
  <c r="J195" i="23"/>
  <c r="J199" i="23"/>
  <c r="J203" i="23"/>
  <c r="J207" i="23"/>
  <c r="J211" i="23"/>
  <c r="J214" i="23"/>
  <c r="K214" i="23" s="1"/>
  <c r="J218" i="23"/>
  <c r="K218" i="23" s="1"/>
  <c r="J222" i="23"/>
  <c r="K222" i="23" s="1"/>
  <c r="J226" i="23"/>
  <c r="K226" i="23" s="1"/>
  <c r="J230" i="23"/>
  <c r="K230" i="23" s="1"/>
  <c r="J234" i="23"/>
  <c r="K234" i="23" s="1"/>
  <c r="J238" i="23"/>
  <c r="K238" i="23" s="1"/>
  <c r="J242" i="23"/>
  <c r="K242" i="23" s="1"/>
  <c r="J192" i="23"/>
  <c r="J196" i="23"/>
  <c r="J200" i="23"/>
  <c r="J204" i="23"/>
  <c r="J208" i="23"/>
  <c r="J215" i="23"/>
  <c r="K215" i="23" s="1"/>
  <c r="J219" i="23"/>
  <c r="K219" i="23" s="1"/>
  <c r="J223" i="23"/>
  <c r="K223" i="23" s="1"/>
  <c r="J227" i="23"/>
  <c r="K227" i="23" s="1"/>
  <c r="J231" i="23"/>
  <c r="K231" i="23" s="1"/>
  <c r="J235" i="23"/>
  <c r="K235" i="23" s="1"/>
  <c r="J239" i="23"/>
  <c r="K239" i="23" s="1"/>
  <c r="J243" i="23"/>
  <c r="K243" i="23" s="1"/>
  <c r="J197" i="23"/>
  <c r="J205" i="23"/>
  <c r="J212" i="23"/>
  <c r="K212" i="23" s="1"/>
  <c r="J220" i="23"/>
  <c r="K220" i="23" s="1"/>
  <c r="J228" i="23"/>
  <c r="K228" i="23" s="1"/>
  <c r="J236" i="23"/>
  <c r="K236" i="23" s="1"/>
  <c r="J190" i="23"/>
  <c r="J198" i="23"/>
  <c r="J206" i="23"/>
  <c r="J213" i="23"/>
  <c r="K213" i="23" s="1"/>
  <c r="J221" i="23"/>
  <c r="K221" i="23" s="1"/>
  <c r="J229" i="23"/>
  <c r="K229" i="23" s="1"/>
  <c r="J237" i="23"/>
  <c r="K237" i="23" s="1"/>
  <c r="J193" i="23"/>
  <c r="J201" i="23"/>
  <c r="J209" i="23"/>
  <c r="J216" i="23"/>
  <c r="K216" i="23" s="1"/>
  <c r="J224" i="23"/>
  <c r="K224" i="23" s="1"/>
  <c r="J232" i="23"/>
  <c r="K232" i="23" s="1"/>
  <c r="J240" i="23"/>
  <c r="K240" i="23" s="1"/>
  <c r="J194" i="23"/>
  <c r="J202" i="23"/>
  <c r="J210" i="23"/>
  <c r="J217" i="23"/>
  <c r="K217" i="23" s="1"/>
  <c r="J225" i="23"/>
  <c r="K225" i="23" s="1"/>
  <c r="J233" i="23"/>
  <c r="K233" i="23" s="1"/>
  <c r="J241" i="23"/>
  <c r="K241" i="23" s="1"/>
  <c r="C167" i="17"/>
  <c r="C209" i="17" l="1"/>
  <c r="C208" i="17"/>
  <c r="C204" i="17"/>
  <c r="C203" i="17"/>
  <c r="C202" i="17"/>
  <c r="AQ81" i="17"/>
  <c r="AQ82" i="17" s="1"/>
  <c r="C206" i="17"/>
  <c r="C205" i="17"/>
  <c r="C90" i="17" l="1"/>
  <c r="C88" i="17"/>
  <c r="C86" i="17"/>
  <c r="C84" i="17"/>
  <c r="C83" i="17"/>
  <c r="C85" i="17"/>
  <c r="C87" i="17"/>
  <c r="C62" i="17"/>
  <c r="C63" i="17"/>
  <c r="C64" i="17"/>
  <c r="C8" i="17"/>
  <c r="C7" i="17"/>
  <c r="C105" i="17"/>
  <c r="C107" i="17"/>
  <c r="C44" i="17"/>
  <c r="C166" i="17" l="1"/>
  <c r="C200" i="17" l="1"/>
  <c r="C148" i="17"/>
  <c r="C150" i="17"/>
  <c r="C151" i="17"/>
  <c r="C146" i="17"/>
  <c r="C142" i="17" l="1"/>
  <c r="C144" i="17"/>
  <c r="C140" i="17"/>
  <c r="C145" i="17"/>
  <c r="C75" i="17"/>
  <c r="C76" i="17"/>
  <c r="C77" i="17"/>
  <c r="C78" i="17"/>
  <c r="C79" i="17"/>
  <c r="C80" i="17"/>
  <c r="C81" i="17"/>
  <c r="C82" i="17"/>
  <c r="C195" i="17"/>
  <c r="C194" i="17"/>
  <c r="C172" i="17"/>
  <c r="C171" i="17"/>
  <c r="C170" i="17"/>
  <c r="C168" i="17"/>
  <c r="C186" i="17"/>
  <c r="C184" i="17"/>
  <c r="C182" i="17"/>
  <c r="C180" i="17"/>
  <c r="C178" i="17"/>
  <c r="C177" i="17"/>
  <c r="C109" i="17"/>
  <c r="C108" i="17"/>
  <c r="C89" i="17" l="1"/>
  <c r="C93" i="17"/>
  <c r="C61" i="17"/>
  <c r="C9" i="17"/>
  <c r="C104" i="17"/>
  <c r="C43" i="17"/>
  <c r="C196" i="17"/>
  <c r="C60" i="17"/>
  <c r="C59" i="17" l="1"/>
  <c r="C235" i="17" l="1"/>
  <c r="C234" i="17"/>
  <c r="C233" i="17"/>
  <c r="AO167" i="17"/>
  <c r="C7" i="23" l="1"/>
  <c r="C8"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I10" i="23"/>
  <c r="I11" i="23"/>
  <c r="I12" i="23"/>
  <c r="I13"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9" i="23"/>
  <c r="G10" i="23"/>
  <c r="H10" i="23"/>
  <c r="G11" i="23"/>
  <c r="H11" i="23"/>
  <c r="G12" i="23"/>
  <c r="H12" i="23"/>
  <c r="G13" i="23"/>
  <c r="H13" i="23"/>
  <c r="G14" i="23"/>
  <c r="H14" i="23"/>
  <c r="G15" i="23"/>
  <c r="H15" i="23"/>
  <c r="G16" i="23"/>
  <c r="H16" i="23"/>
  <c r="G17" i="23"/>
  <c r="H17" i="23"/>
  <c r="G18" i="23"/>
  <c r="H18" i="23"/>
  <c r="G19" i="23"/>
  <c r="H19" i="23"/>
  <c r="G20" i="23"/>
  <c r="H20" i="23"/>
  <c r="G21" i="23"/>
  <c r="H21" i="23"/>
  <c r="G22" i="23"/>
  <c r="H22" i="23"/>
  <c r="G23" i="23"/>
  <c r="H23" i="23"/>
  <c r="G24" i="23"/>
  <c r="H24" i="23"/>
  <c r="G25" i="23"/>
  <c r="H25" i="23"/>
  <c r="G26" i="23"/>
  <c r="H26" i="23"/>
  <c r="G27" i="23"/>
  <c r="H27" i="23"/>
  <c r="G28" i="23"/>
  <c r="H28" i="23"/>
  <c r="G29" i="23"/>
  <c r="H29" i="23"/>
  <c r="G30" i="23"/>
  <c r="H30" i="23"/>
  <c r="G31" i="23"/>
  <c r="H31" i="23"/>
  <c r="G32" i="23"/>
  <c r="H32" i="23"/>
  <c r="G33" i="23"/>
  <c r="H33" i="23"/>
  <c r="G34" i="23"/>
  <c r="H34" i="23"/>
  <c r="G35" i="23"/>
  <c r="H35" i="23"/>
  <c r="G36" i="23"/>
  <c r="H36" i="23"/>
  <c r="G37" i="23"/>
  <c r="H37" i="23"/>
  <c r="G38" i="23"/>
  <c r="H38" i="23"/>
  <c r="G39" i="23"/>
  <c r="H39" i="23"/>
  <c r="G40" i="23"/>
  <c r="H40" i="23"/>
  <c r="G41" i="23"/>
  <c r="H41" i="23"/>
  <c r="G42" i="23"/>
  <c r="H42" i="23"/>
  <c r="G43" i="23"/>
  <c r="H43" i="23"/>
  <c r="G44" i="23"/>
  <c r="H44" i="23"/>
  <c r="G45" i="23"/>
  <c r="H45" i="23"/>
  <c r="G46" i="23"/>
  <c r="H46" i="23"/>
  <c r="G47" i="23"/>
  <c r="H47" i="23"/>
  <c r="G48" i="23"/>
  <c r="H48" i="23"/>
  <c r="G49" i="23"/>
  <c r="H49" i="23"/>
  <c r="G50" i="23"/>
  <c r="H50" i="23"/>
  <c r="J50" i="23" s="1"/>
  <c r="K50" i="23" s="1"/>
  <c r="G51" i="23"/>
  <c r="H51" i="23"/>
  <c r="G52" i="23"/>
  <c r="H52" i="23"/>
  <c r="G53" i="23"/>
  <c r="H53" i="23"/>
  <c r="G54" i="23"/>
  <c r="H54" i="23"/>
  <c r="G55" i="23"/>
  <c r="H55" i="23"/>
  <c r="G56" i="23"/>
  <c r="H56" i="23"/>
  <c r="G57" i="23"/>
  <c r="H57" i="23"/>
  <c r="G58" i="23"/>
  <c r="H58" i="23"/>
  <c r="J58" i="23" s="1"/>
  <c r="K58" i="23" s="1"/>
  <c r="G59" i="23"/>
  <c r="H59" i="23"/>
  <c r="G60" i="23"/>
  <c r="H60" i="23"/>
  <c r="G61" i="23"/>
  <c r="H61" i="23"/>
  <c r="G62" i="23"/>
  <c r="H62" i="23"/>
  <c r="G63" i="23"/>
  <c r="H63" i="23"/>
  <c r="G64" i="23"/>
  <c r="H64" i="23"/>
  <c r="G65" i="23"/>
  <c r="H65" i="23"/>
  <c r="G66" i="23"/>
  <c r="H66" i="23"/>
  <c r="J66" i="23" s="1"/>
  <c r="K66" i="23" s="1"/>
  <c r="G67" i="23"/>
  <c r="H67" i="23"/>
  <c r="G68" i="23"/>
  <c r="H68" i="23"/>
  <c r="G69" i="23"/>
  <c r="H69" i="23"/>
  <c r="G70" i="23"/>
  <c r="H70" i="23"/>
  <c r="G71" i="23"/>
  <c r="H71" i="23"/>
  <c r="G72" i="23"/>
  <c r="H72" i="23"/>
  <c r="G73" i="23"/>
  <c r="H73" i="23"/>
  <c r="G74" i="23"/>
  <c r="H74" i="23"/>
  <c r="J74" i="23" s="1"/>
  <c r="K74" i="23" s="1"/>
  <c r="G75" i="23"/>
  <c r="H75" i="23"/>
  <c r="G76" i="23"/>
  <c r="H76" i="23"/>
  <c r="G77" i="23"/>
  <c r="H77" i="23"/>
  <c r="G78" i="23"/>
  <c r="H78" i="23"/>
  <c r="G79" i="23"/>
  <c r="H79" i="23"/>
  <c r="G80" i="23"/>
  <c r="H80" i="23"/>
  <c r="G81" i="23"/>
  <c r="H81" i="23"/>
  <c r="G82" i="23"/>
  <c r="H82" i="23"/>
  <c r="J82" i="23" s="1"/>
  <c r="K82" i="23" s="1"/>
  <c r="G83" i="23"/>
  <c r="H83" i="23"/>
  <c r="G84" i="23"/>
  <c r="H84" i="23"/>
  <c r="G85" i="23"/>
  <c r="H85" i="23"/>
  <c r="G86" i="23"/>
  <c r="H86" i="23"/>
  <c r="G87" i="23"/>
  <c r="H87" i="23"/>
  <c r="G88" i="23"/>
  <c r="H88" i="23"/>
  <c r="G89" i="23"/>
  <c r="H89" i="23"/>
  <c r="G90" i="23"/>
  <c r="H90" i="23"/>
  <c r="J90" i="23" s="1"/>
  <c r="K90" i="23" s="1"/>
  <c r="G91" i="23"/>
  <c r="H91" i="23"/>
  <c r="G92" i="23"/>
  <c r="H92" i="23"/>
  <c r="G93" i="23"/>
  <c r="H93" i="23"/>
  <c r="G94" i="23"/>
  <c r="H94" i="23"/>
  <c r="G95" i="23"/>
  <c r="H95" i="23"/>
  <c r="G96" i="23"/>
  <c r="H96" i="23"/>
  <c r="G97" i="23"/>
  <c r="H97" i="23"/>
  <c r="G98" i="23"/>
  <c r="H98" i="23"/>
  <c r="J98" i="23" s="1"/>
  <c r="K98" i="23" s="1"/>
  <c r="G99" i="23"/>
  <c r="H99" i="23"/>
  <c r="G100" i="23"/>
  <c r="H100" i="23"/>
  <c r="G101" i="23"/>
  <c r="H101" i="23"/>
  <c r="G102" i="23"/>
  <c r="H102" i="23"/>
  <c r="G103" i="23"/>
  <c r="H103" i="23"/>
  <c r="G104" i="23"/>
  <c r="H104" i="23"/>
  <c r="G105" i="23"/>
  <c r="H105" i="23"/>
  <c r="G106" i="23"/>
  <c r="H106" i="23"/>
  <c r="J106" i="23" s="1"/>
  <c r="K106" i="23" s="1"/>
  <c r="G107" i="23"/>
  <c r="H107" i="23"/>
  <c r="G108" i="23"/>
  <c r="H108" i="23"/>
  <c r="G109" i="23"/>
  <c r="H109" i="23"/>
  <c r="G110" i="23"/>
  <c r="H110" i="23"/>
  <c r="G111" i="23"/>
  <c r="H111" i="23"/>
  <c r="G112" i="23"/>
  <c r="H112" i="23"/>
  <c r="G113" i="23"/>
  <c r="H113" i="23"/>
  <c r="G114" i="23"/>
  <c r="H114" i="23"/>
  <c r="J114" i="23" s="1"/>
  <c r="K114" i="23" s="1"/>
  <c r="G115" i="23"/>
  <c r="H115" i="23"/>
  <c r="G116" i="23"/>
  <c r="H116" i="23"/>
  <c r="G117" i="23"/>
  <c r="H117" i="23"/>
  <c r="G118" i="23"/>
  <c r="H118" i="23"/>
  <c r="G119" i="23"/>
  <c r="H119" i="23"/>
  <c r="G120" i="23"/>
  <c r="H120" i="23"/>
  <c r="G121" i="23"/>
  <c r="H121" i="23"/>
  <c r="G122" i="23"/>
  <c r="H122" i="23"/>
  <c r="J122" i="23" s="1"/>
  <c r="K122" i="23" s="1"/>
  <c r="G123" i="23"/>
  <c r="H123" i="23"/>
  <c r="G124" i="23"/>
  <c r="H124" i="23"/>
  <c r="G125" i="23"/>
  <c r="H125" i="23"/>
  <c r="G126" i="23"/>
  <c r="H126" i="23"/>
  <c r="G127" i="23"/>
  <c r="H127" i="23"/>
  <c r="G128" i="23"/>
  <c r="H128" i="23"/>
  <c r="G129" i="23"/>
  <c r="H129" i="23"/>
  <c r="G130" i="23"/>
  <c r="H130" i="23"/>
  <c r="J130" i="23" s="1"/>
  <c r="K130" i="23" s="1"/>
  <c r="G131" i="23"/>
  <c r="H131" i="23"/>
  <c r="G132" i="23"/>
  <c r="H132" i="23"/>
  <c r="G133" i="23"/>
  <c r="H133" i="23"/>
  <c r="G134" i="23"/>
  <c r="H134" i="23"/>
  <c r="G135" i="23"/>
  <c r="H135" i="23"/>
  <c r="G136" i="23"/>
  <c r="H136" i="23"/>
  <c r="G137" i="23"/>
  <c r="H137" i="23"/>
  <c r="G138" i="23"/>
  <c r="H138" i="23"/>
  <c r="J138" i="23" s="1"/>
  <c r="K138" i="23" s="1"/>
  <c r="G139" i="23"/>
  <c r="H139" i="23"/>
  <c r="G140" i="23"/>
  <c r="H140" i="23"/>
  <c r="G141" i="23"/>
  <c r="H141" i="23"/>
  <c r="G142" i="23"/>
  <c r="H142" i="23"/>
  <c r="G143" i="23"/>
  <c r="H143" i="23"/>
  <c r="G144" i="23"/>
  <c r="H144" i="23"/>
  <c r="G145" i="23"/>
  <c r="H145" i="23"/>
  <c r="G146" i="23"/>
  <c r="H146" i="23"/>
  <c r="J146" i="23" s="1"/>
  <c r="K146" i="23" s="1"/>
  <c r="G147" i="23"/>
  <c r="H147" i="23"/>
  <c r="G148" i="23"/>
  <c r="H148" i="23"/>
  <c r="G149" i="23"/>
  <c r="H149" i="23"/>
  <c r="G150" i="23"/>
  <c r="H150" i="23"/>
  <c r="G151" i="23"/>
  <c r="H151" i="23"/>
  <c r="D10" i="23"/>
  <c r="E10" i="23"/>
  <c r="D11" i="23"/>
  <c r="E11" i="23"/>
  <c r="D12" i="23"/>
  <c r="E12" i="23"/>
  <c r="D13" i="23"/>
  <c r="E13" i="23"/>
  <c r="D14" i="23"/>
  <c r="E14" i="23"/>
  <c r="D15" i="23"/>
  <c r="E15" i="23"/>
  <c r="D16" i="23"/>
  <c r="E16" i="23"/>
  <c r="D17" i="23"/>
  <c r="E17" i="23"/>
  <c r="D18" i="23"/>
  <c r="E18" i="23"/>
  <c r="D19" i="23"/>
  <c r="E19" i="23"/>
  <c r="D20" i="23"/>
  <c r="E20" i="23"/>
  <c r="D21" i="23"/>
  <c r="E21" i="23"/>
  <c r="D22" i="23"/>
  <c r="E22" i="23"/>
  <c r="D23" i="23"/>
  <c r="E23" i="23"/>
  <c r="D24" i="23"/>
  <c r="E24" i="23"/>
  <c r="D25" i="23"/>
  <c r="E25" i="23"/>
  <c r="D26" i="23"/>
  <c r="E26" i="23"/>
  <c r="D27" i="23"/>
  <c r="E27" i="23"/>
  <c r="D28" i="23"/>
  <c r="E28" i="23"/>
  <c r="D29" i="23"/>
  <c r="E29" i="23"/>
  <c r="D30" i="23"/>
  <c r="E30" i="23"/>
  <c r="D31" i="23"/>
  <c r="E31" i="23"/>
  <c r="D32" i="23"/>
  <c r="E32" i="23"/>
  <c r="D33" i="23"/>
  <c r="E33" i="23"/>
  <c r="D34" i="23"/>
  <c r="E34" i="23"/>
  <c r="D35" i="23"/>
  <c r="E35" i="23"/>
  <c r="D36" i="23"/>
  <c r="E36" i="23"/>
  <c r="D37" i="23"/>
  <c r="E37" i="23"/>
  <c r="D38" i="23"/>
  <c r="E38" i="23"/>
  <c r="D39" i="23"/>
  <c r="E39" i="23"/>
  <c r="D40" i="23"/>
  <c r="E40" i="23"/>
  <c r="D41" i="23"/>
  <c r="E41" i="23"/>
  <c r="D42" i="23"/>
  <c r="E42" i="23"/>
  <c r="D43" i="23"/>
  <c r="E43" i="23"/>
  <c r="D44" i="23"/>
  <c r="E44" i="23"/>
  <c r="D45" i="23"/>
  <c r="E45" i="23"/>
  <c r="D46" i="23"/>
  <c r="E46" i="23"/>
  <c r="D47" i="23"/>
  <c r="E47" i="23"/>
  <c r="D48" i="23"/>
  <c r="E48" i="23"/>
  <c r="D49" i="23"/>
  <c r="E49" i="23"/>
  <c r="D50" i="23"/>
  <c r="E50" i="23"/>
  <c r="D51" i="23"/>
  <c r="E51" i="23"/>
  <c r="D52" i="23"/>
  <c r="E52" i="23"/>
  <c r="D53" i="23"/>
  <c r="E53" i="23"/>
  <c r="D54" i="23"/>
  <c r="E54" i="23"/>
  <c r="D55" i="23"/>
  <c r="E55" i="23"/>
  <c r="D56" i="23"/>
  <c r="E56" i="23"/>
  <c r="D57" i="23"/>
  <c r="E57" i="23"/>
  <c r="D58" i="23"/>
  <c r="E58" i="23"/>
  <c r="D59" i="23"/>
  <c r="E59" i="23"/>
  <c r="D60" i="23"/>
  <c r="E60" i="23"/>
  <c r="D61" i="23"/>
  <c r="E61" i="23"/>
  <c r="D62" i="23"/>
  <c r="E62" i="23"/>
  <c r="D63" i="23"/>
  <c r="E63" i="23"/>
  <c r="D64" i="23"/>
  <c r="E64" i="23"/>
  <c r="D65" i="23"/>
  <c r="E65" i="23"/>
  <c r="D66" i="23"/>
  <c r="E66" i="23"/>
  <c r="D67" i="23"/>
  <c r="E67" i="23"/>
  <c r="D68" i="23"/>
  <c r="E68" i="23"/>
  <c r="D69" i="23"/>
  <c r="E69" i="23"/>
  <c r="D70" i="23"/>
  <c r="E70" i="23"/>
  <c r="D71" i="23"/>
  <c r="E71" i="23"/>
  <c r="D72" i="23"/>
  <c r="E72" i="23"/>
  <c r="D73" i="23"/>
  <c r="E73" i="23"/>
  <c r="D74" i="23"/>
  <c r="E74" i="23"/>
  <c r="D75" i="23"/>
  <c r="E75" i="23"/>
  <c r="D76" i="23"/>
  <c r="E76" i="23"/>
  <c r="D77" i="23"/>
  <c r="E77" i="23"/>
  <c r="D78" i="23"/>
  <c r="E78" i="23"/>
  <c r="D79" i="23"/>
  <c r="E79" i="23"/>
  <c r="D80" i="23"/>
  <c r="E80" i="23"/>
  <c r="D81" i="23"/>
  <c r="E81" i="23"/>
  <c r="D82" i="23"/>
  <c r="E82" i="23"/>
  <c r="D83" i="23"/>
  <c r="E83" i="23"/>
  <c r="D84" i="23"/>
  <c r="E84" i="23"/>
  <c r="D85" i="23"/>
  <c r="E85" i="23"/>
  <c r="D86" i="23"/>
  <c r="E86" i="23"/>
  <c r="D87" i="23"/>
  <c r="E87" i="23"/>
  <c r="D88" i="23"/>
  <c r="E88" i="23"/>
  <c r="D89" i="23"/>
  <c r="E89" i="23"/>
  <c r="D90" i="23"/>
  <c r="E90" i="23"/>
  <c r="D91" i="23"/>
  <c r="E91" i="23"/>
  <c r="D92" i="23"/>
  <c r="E92" i="23"/>
  <c r="D93" i="23"/>
  <c r="E93" i="23"/>
  <c r="D94" i="23"/>
  <c r="E94" i="23"/>
  <c r="D95" i="23"/>
  <c r="E95" i="23"/>
  <c r="D96" i="23"/>
  <c r="E96" i="23"/>
  <c r="D97" i="23"/>
  <c r="E97" i="23"/>
  <c r="D98" i="23"/>
  <c r="E98" i="23"/>
  <c r="D99" i="23"/>
  <c r="E99" i="23"/>
  <c r="D100" i="23"/>
  <c r="E100" i="23"/>
  <c r="D101" i="23"/>
  <c r="E101" i="23"/>
  <c r="D102" i="23"/>
  <c r="E102" i="23"/>
  <c r="D103" i="23"/>
  <c r="E103" i="23"/>
  <c r="D104" i="23"/>
  <c r="E104" i="23"/>
  <c r="D105" i="23"/>
  <c r="E105" i="23"/>
  <c r="D106" i="23"/>
  <c r="E106" i="23"/>
  <c r="D107" i="23"/>
  <c r="E107" i="23"/>
  <c r="D108" i="23"/>
  <c r="E108" i="23"/>
  <c r="D109" i="23"/>
  <c r="E109" i="23"/>
  <c r="D110" i="23"/>
  <c r="E110" i="23"/>
  <c r="D111" i="23"/>
  <c r="E111" i="23"/>
  <c r="D112" i="23"/>
  <c r="E112" i="23"/>
  <c r="D113" i="23"/>
  <c r="E113" i="23"/>
  <c r="D114" i="23"/>
  <c r="E114" i="23"/>
  <c r="D115" i="23"/>
  <c r="E115" i="23"/>
  <c r="D116" i="23"/>
  <c r="E116" i="23"/>
  <c r="D117" i="23"/>
  <c r="E117" i="23"/>
  <c r="D118" i="23"/>
  <c r="E118" i="23"/>
  <c r="D119" i="23"/>
  <c r="E119" i="23"/>
  <c r="D120" i="23"/>
  <c r="E120" i="23"/>
  <c r="D121" i="23"/>
  <c r="E121" i="23"/>
  <c r="D122" i="23"/>
  <c r="E122" i="23"/>
  <c r="D123" i="23"/>
  <c r="E123" i="23"/>
  <c r="D124" i="23"/>
  <c r="E124" i="23"/>
  <c r="D125" i="23"/>
  <c r="E125" i="23"/>
  <c r="D126" i="23"/>
  <c r="E126" i="23"/>
  <c r="D127" i="23"/>
  <c r="E127" i="23"/>
  <c r="D128" i="23"/>
  <c r="E128" i="23"/>
  <c r="D129" i="23"/>
  <c r="E129" i="23"/>
  <c r="D130" i="23"/>
  <c r="E130" i="23"/>
  <c r="D131" i="23"/>
  <c r="E131" i="23"/>
  <c r="D132" i="23"/>
  <c r="E132" i="23"/>
  <c r="D133" i="23"/>
  <c r="E133" i="23"/>
  <c r="D134" i="23"/>
  <c r="E134" i="23"/>
  <c r="D135" i="23"/>
  <c r="E135" i="23"/>
  <c r="D136" i="23"/>
  <c r="E136" i="23"/>
  <c r="D137" i="23"/>
  <c r="E137" i="23"/>
  <c r="D138" i="23"/>
  <c r="E138" i="23"/>
  <c r="D139" i="23"/>
  <c r="E139" i="23"/>
  <c r="D140" i="23"/>
  <c r="E140" i="23"/>
  <c r="D141" i="23"/>
  <c r="E141" i="23"/>
  <c r="D142" i="23"/>
  <c r="E142" i="23"/>
  <c r="D143" i="23"/>
  <c r="E143" i="23"/>
  <c r="D144" i="23"/>
  <c r="E144" i="23"/>
  <c r="D145" i="23"/>
  <c r="E145" i="23"/>
  <c r="D146" i="23"/>
  <c r="E146" i="23"/>
  <c r="D147" i="23"/>
  <c r="E147" i="23"/>
  <c r="D148" i="23"/>
  <c r="E148" i="23"/>
  <c r="D149" i="23"/>
  <c r="E149" i="23"/>
  <c r="D150" i="23"/>
  <c r="E150" i="23"/>
  <c r="D151" i="23"/>
  <c r="E151"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78" i="23"/>
  <c r="A79" i="23"/>
  <c r="A80" i="23"/>
  <c r="A81" i="23"/>
  <c r="A82" i="23"/>
  <c r="A83" i="23"/>
  <c r="A84" i="23"/>
  <c r="A85" i="23"/>
  <c r="A86" i="23"/>
  <c r="A87" i="23"/>
  <c r="A88" i="23"/>
  <c r="A89" i="23"/>
  <c r="A90" i="23"/>
  <c r="A91" i="23"/>
  <c r="A92" i="23"/>
  <c r="A93" i="23"/>
  <c r="A94" i="23"/>
  <c r="A95" i="23"/>
  <c r="A96" i="23"/>
  <c r="A97" i="23"/>
  <c r="A98" i="23"/>
  <c r="A99" i="23"/>
  <c r="A100" i="23"/>
  <c r="A101" i="23"/>
  <c r="A102" i="23"/>
  <c r="A103" i="23"/>
  <c r="A104" i="23"/>
  <c r="A105" i="23"/>
  <c r="A106" i="23"/>
  <c r="A107" i="23"/>
  <c r="A108" i="23"/>
  <c r="A109" i="23"/>
  <c r="A110" i="23"/>
  <c r="A111" i="23"/>
  <c r="A112" i="23"/>
  <c r="A113" i="23"/>
  <c r="A114" i="23"/>
  <c r="A115" i="23"/>
  <c r="A116" i="23"/>
  <c r="A117" i="23"/>
  <c r="A118" i="23"/>
  <c r="A119" i="23"/>
  <c r="A120" i="23"/>
  <c r="A121" i="23"/>
  <c r="A122" i="23"/>
  <c r="A123" i="23"/>
  <c r="A124" i="23"/>
  <c r="A125" i="23"/>
  <c r="A126" i="23"/>
  <c r="A127" i="23"/>
  <c r="A128" i="23"/>
  <c r="A129" i="23"/>
  <c r="A130" i="23"/>
  <c r="A131" i="23"/>
  <c r="A132" i="23"/>
  <c r="A133" i="23"/>
  <c r="A134" i="23"/>
  <c r="A135" i="23"/>
  <c r="A136" i="23"/>
  <c r="A137" i="23"/>
  <c r="A138" i="23"/>
  <c r="A139" i="23"/>
  <c r="A140" i="23"/>
  <c r="A141" i="23"/>
  <c r="A142" i="23"/>
  <c r="A143" i="23"/>
  <c r="A144" i="23"/>
  <c r="A145" i="23"/>
  <c r="A146" i="23"/>
  <c r="A147" i="23"/>
  <c r="A148" i="23"/>
  <c r="A149" i="23"/>
  <c r="A150" i="23"/>
  <c r="A151" i="23"/>
  <c r="J148" i="23" l="1"/>
  <c r="K148" i="23" s="1"/>
  <c r="J144" i="23"/>
  <c r="K144" i="23" s="1"/>
  <c r="J140" i="23"/>
  <c r="K140" i="23" s="1"/>
  <c r="J136" i="23"/>
  <c r="K136" i="23" s="1"/>
  <c r="J132" i="23"/>
  <c r="K132" i="23" s="1"/>
  <c r="J128" i="23"/>
  <c r="K128" i="23" s="1"/>
  <c r="J124" i="23"/>
  <c r="K124" i="23" s="1"/>
  <c r="J120" i="23"/>
  <c r="K120" i="23" s="1"/>
  <c r="J116" i="23"/>
  <c r="K116" i="23" s="1"/>
  <c r="J112" i="23"/>
  <c r="K112" i="23" s="1"/>
  <c r="J108" i="23"/>
  <c r="K108" i="23" s="1"/>
  <c r="J104" i="23"/>
  <c r="K104" i="23" s="1"/>
  <c r="J100" i="23"/>
  <c r="K100" i="23" s="1"/>
  <c r="J96" i="23"/>
  <c r="K96" i="23" s="1"/>
  <c r="J92" i="23"/>
  <c r="K92" i="23" s="1"/>
  <c r="J88" i="23"/>
  <c r="K88" i="23" s="1"/>
  <c r="J84" i="23"/>
  <c r="K84" i="23" s="1"/>
  <c r="J80" i="23"/>
  <c r="K80" i="23" s="1"/>
  <c r="J76" i="23"/>
  <c r="K76" i="23" s="1"/>
  <c r="J72" i="23"/>
  <c r="K72" i="23" s="1"/>
  <c r="J68" i="23"/>
  <c r="K68" i="23" s="1"/>
  <c r="J64" i="23"/>
  <c r="K64" i="23" s="1"/>
  <c r="J60" i="23"/>
  <c r="K60" i="23" s="1"/>
  <c r="J56" i="23"/>
  <c r="K56" i="23" s="1"/>
  <c r="J52" i="23"/>
  <c r="K52" i="23" s="1"/>
  <c r="J48" i="23"/>
  <c r="K48" i="23" s="1"/>
  <c r="J44" i="23"/>
  <c r="K44" i="23" s="1"/>
  <c r="C133" i="23"/>
  <c r="C117" i="23"/>
  <c r="C93" i="23"/>
  <c r="C85" i="23"/>
  <c r="C61" i="23"/>
  <c r="C37" i="23"/>
  <c r="C13" i="23"/>
  <c r="J150" i="23"/>
  <c r="K150" i="23" s="1"/>
  <c r="J142" i="23"/>
  <c r="K142" i="23" s="1"/>
  <c r="J134" i="23"/>
  <c r="K134" i="23" s="1"/>
  <c r="J126" i="23"/>
  <c r="K126" i="23" s="1"/>
  <c r="J118" i="23"/>
  <c r="K118" i="23" s="1"/>
  <c r="J110" i="23"/>
  <c r="K110" i="23" s="1"/>
  <c r="J102" i="23"/>
  <c r="K102" i="23" s="1"/>
  <c r="J94" i="23"/>
  <c r="K94" i="23" s="1"/>
  <c r="J86" i="23"/>
  <c r="K86" i="23" s="1"/>
  <c r="J78" i="23"/>
  <c r="K78" i="23" s="1"/>
  <c r="J70" i="23"/>
  <c r="K70" i="23" s="1"/>
  <c r="J62" i="23"/>
  <c r="K62" i="23" s="1"/>
  <c r="J54" i="23"/>
  <c r="K54" i="23" s="1"/>
  <c r="J46" i="23"/>
  <c r="K46" i="23" s="1"/>
  <c r="C149" i="23"/>
  <c r="C125" i="23"/>
  <c r="C109" i="23"/>
  <c r="C77" i="23"/>
  <c r="C53" i="23"/>
  <c r="C21" i="23"/>
  <c r="C141" i="23"/>
  <c r="C101" i="23"/>
  <c r="C69" i="23"/>
  <c r="C45" i="23"/>
  <c r="C29" i="23"/>
  <c r="C143" i="23"/>
  <c r="C127" i="23"/>
  <c r="C111" i="23"/>
  <c r="C95" i="23"/>
  <c r="C79" i="23"/>
  <c r="C63" i="23"/>
  <c r="C47" i="23"/>
  <c r="C31" i="23"/>
  <c r="C15" i="23"/>
  <c r="C151" i="23"/>
  <c r="C135" i="23"/>
  <c r="C119" i="23"/>
  <c r="C103" i="23"/>
  <c r="C87" i="23"/>
  <c r="C71" i="23"/>
  <c r="C55" i="23"/>
  <c r="C39" i="23"/>
  <c r="C23" i="23"/>
  <c r="C131" i="23"/>
  <c r="C115" i="23"/>
  <c r="C99" i="23"/>
  <c r="C83" i="23"/>
  <c r="C67" i="23"/>
  <c r="C51" i="23"/>
  <c r="C35" i="23"/>
  <c r="C27" i="23"/>
  <c r="C11" i="23"/>
  <c r="C147" i="23"/>
  <c r="C139" i="23"/>
  <c r="C123" i="23"/>
  <c r="C107" i="23"/>
  <c r="C91" i="23"/>
  <c r="C75" i="23"/>
  <c r="C59" i="23"/>
  <c r="C43" i="23"/>
  <c r="C19" i="23"/>
  <c r="C118" i="23"/>
  <c r="C116" i="23"/>
  <c r="C114" i="23"/>
  <c r="C110" i="23"/>
  <c r="C108" i="23"/>
  <c r="C106" i="23"/>
  <c r="C102" i="23"/>
  <c r="C100" i="23"/>
  <c r="C98" i="23"/>
  <c r="C94" i="23"/>
  <c r="C92" i="23"/>
  <c r="C90" i="23"/>
  <c r="C86" i="23"/>
  <c r="C84" i="23"/>
  <c r="C82" i="23"/>
  <c r="C78" i="23"/>
  <c r="C76" i="23"/>
  <c r="C74" i="23"/>
  <c r="C70" i="23"/>
  <c r="C68" i="23"/>
  <c r="C66" i="23"/>
  <c r="C62" i="23"/>
  <c r="C60" i="23"/>
  <c r="C58" i="23"/>
  <c r="C54" i="23"/>
  <c r="C52" i="23"/>
  <c r="C50" i="23"/>
  <c r="C46" i="23"/>
  <c r="C44" i="23"/>
  <c r="C42" i="23"/>
  <c r="C38" i="23"/>
  <c r="C36" i="23"/>
  <c r="C34" i="23"/>
  <c r="C30" i="23"/>
  <c r="C28" i="23"/>
  <c r="C26" i="23"/>
  <c r="C22" i="23"/>
  <c r="C20" i="23"/>
  <c r="C18" i="23"/>
  <c r="C14" i="23"/>
  <c r="C12" i="23"/>
  <c r="C10" i="23"/>
  <c r="C150" i="23"/>
  <c r="C148" i="23"/>
  <c r="C146" i="23"/>
  <c r="C142" i="23"/>
  <c r="C140" i="23"/>
  <c r="C138" i="23"/>
  <c r="C134" i="23"/>
  <c r="C132" i="23"/>
  <c r="C130" i="23"/>
  <c r="C126" i="23"/>
  <c r="C124" i="23"/>
  <c r="C122" i="23"/>
  <c r="J151" i="23"/>
  <c r="K151" i="23" s="1"/>
  <c r="J149" i="23"/>
  <c r="K149" i="23" s="1"/>
  <c r="J147" i="23"/>
  <c r="K147" i="23" s="1"/>
  <c r="J145" i="23"/>
  <c r="K145" i="23" s="1"/>
  <c r="J143" i="23"/>
  <c r="K143" i="23" s="1"/>
  <c r="J141" i="23"/>
  <c r="K141" i="23" s="1"/>
  <c r="J139" i="23"/>
  <c r="K139" i="23" s="1"/>
  <c r="J137" i="23"/>
  <c r="K137" i="23" s="1"/>
  <c r="J135" i="23"/>
  <c r="K135" i="23" s="1"/>
  <c r="J133" i="23"/>
  <c r="K133" i="23" s="1"/>
  <c r="J131" i="23"/>
  <c r="K131" i="23" s="1"/>
  <c r="J129" i="23"/>
  <c r="K129" i="23" s="1"/>
  <c r="J127" i="23"/>
  <c r="K127" i="23" s="1"/>
  <c r="J125" i="23"/>
  <c r="K125" i="23" s="1"/>
  <c r="J123" i="23"/>
  <c r="K123" i="23" s="1"/>
  <c r="J121" i="23"/>
  <c r="K121" i="23" s="1"/>
  <c r="J119" i="23"/>
  <c r="K119" i="23" s="1"/>
  <c r="J117" i="23"/>
  <c r="K117" i="23" s="1"/>
  <c r="J115" i="23"/>
  <c r="K115" i="23" s="1"/>
  <c r="J113" i="23"/>
  <c r="K113" i="23" s="1"/>
  <c r="J111" i="23"/>
  <c r="K111" i="23" s="1"/>
  <c r="J109" i="23"/>
  <c r="K109" i="23" s="1"/>
  <c r="J107" i="23"/>
  <c r="K107" i="23" s="1"/>
  <c r="J105" i="23"/>
  <c r="K105" i="23" s="1"/>
  <c r="J103" i="23"/>
  <c r="K103" i="23" s="1"/>
  <c r="J101" i="23"/>
  <c r="K101" i="23" s="1"/>
  <c r="J99" i="23"/>
  <c r="K99" i="23" s="1"/>
  <c r="J97" i="23"/>
  <c r="K97" i="23" s="1"/>
  <c r="J95" i="23"/>
  <c r="K95" i="23" s="1"/>
  <c r="J93" i="23"/>
  <c r="K93" i="23" s="1"/>
  <c r="J91" i="23"/>
  <c r="K91" i="23" s="1"/>
  <c r="J89" i="23"/>
  <c r="K89" i="23" s="1"/>
  <c r="J87" i="23"/>
  <c r="K87" i="23" s="1"/>
  <c r="J85" i="23"/>
  <c r="K85" i="23" s="1"/>
  <c r="J83" i="23"/>
  <c r="K83" i="23" s="1"/>
  <c r="J81" i="23"/>
  <c r="K81" i="23" s="1"/>
  <c r="J79" i="23"/>
  <c r="K79" i="23" s="1"/>
  <c r="J77" i="23"/>
  <c r="K77" i="23" s="1"/>
  <c r="J75" i="23"/>
  <c r="K75" i="23" s="1"/>
  <c r="J73" i="23"/>
  <c r="K73" i="23" s="1"/>
  <c r="J71" i="23"/>
  <c r="K71" i="23" s="1"/>
  <c r="J69" i="23"/>
  <c r="K69" i="23" s="1"/>
  <c r="J67" i="23"/>
  <c r="K67" i="23" s="1"/>
  <c r="J65" i="23"/>
  <c r="K65" i="23" s="1"/>
  <c r="J63" i="23"/>
  <c r="K63" i="23" s="1"/>
  <c r="J61" i="23"/>
  <c r="K61" i="23" s="1"/>
  <c r="J59" i="23"/>
  <c r="K59" i="23" s="1"/>
  <c r="J57" i="23"/>
  <c r="K57" i="23" s="1"/>
  <c r="J55" i="23"/>
  <c r="K55" i="23" s="1"/>
  <c r="J53" i="23"/>
  <c r="K53" i="23" s="1"/>
  <c r="J51" i="23"/>
  <c r="K51" i="23" s="1"/>
  <c r="J49" i="23"/>
  <c r="K49" i="23" s="1"/>
  <c r="J47" i="23"/>
  <c r="K47" i="23" s="1"/>
  <c r="J45" i="23"/>
  <c r="K45" i="23" s="1"/>
  <c r="J43" i="23"/>
  <c r="K43" i="23" s="1"/>
  <c r="C137" i="23"/>
  <c r="C121" i="23"/>
  <c r="C105" i="23"/>
  <c r="C89" i="23"/>
  <c r="C73" i="23"/>
  <c r="C57" i="23"/>
  <c r="C49" i="23"/>
  <c r="C33" i="23"/>
  <c r="C17" i="23"/>
  <c r="C144" i="23"/>
  <c r="C136" i="23"/>
  <c r="C128" i="23"/>
  <c r="C120" i="23"/>
  <c r="C112" i="23"/>
  <c r="C104" i="23"/>
  <c r="C96" i="23"/>
  <c r="C88" i="23"/>
  <c r="C80" i="23"/>
  <c r="C72" i="23"/>
  <c r="C64" i="23"/>
  <c r="C56" i="23"/>
  <c r="C48" i="23"/>
  <c r="C40" i="23"/>
  <c r="C32" i="23"/>
  <c r="C24" i="23"/>
  <c r="C16" i="23"/>
  <c r="C145" i="23"/>
  <c r="C129" i="23"/>
  <c r="C113" i="23"/>
  <c r="C97" i="23"/>
  <c r="C81" i="23"/>
  <c r="C65" i="23"/>
  <c r="C41" i="23"/>
  <c r="C25" i="23"/>
  <c r="C6" i="17"/>
  <c r="AV172" i="17" l="1"/>
  <c r="C201" i="17" l="1"/>
  <c r="C199" i="17"/>
  <c r="C211" i="17"/>
  <c r="C210" i="17"/>
  <c r="C23" i="17"/>
  <c r="C6" i="23" l="1"/>
  <c r="H136" i="1" l="1"/>
  <c r="D8" i="1" l="1"/>
  <c r="AU81" i="17" l="1"/>
  <c r="AU82" i="17" s="1"/>
  <c r="AT81" i="17"/>
  <c r="AT82" i="17" s="1"/>
  <c r="AS81" i="17"/>
  <c r="AS82" i="17" s="1"/>
  <c r="AR81" i="17"/>
  <c r="AR82" i="17" s="1"/>
  <c r="AO77" i="17"/>
  <c r="AW4" i="17"/>
  <c r="AW5" i="17"/>
  <c r="AW3" i="17"/>
  <c r="AW6" i="17"/>
  <c r="AW7" i="17" s="1"/>
  <c r="C103" i="17"/>
  <c r="C99" i="17"/>
  <c r="I44" i="1"/>
  <c r="AV82" i="17" l="1"/>
  <c r="AN77" i="17" s="1"/>
  <c r="D49" i="1"/>
  <c r="AU203" i="17" l="1"/>
  <c r="AT203" i="17"/>
  <c r="AT204" i="17" s="1"/>
  <c r="AS203" i="17"/>
  <c r="AS204" i="17" s="1"/>
  <c r="AR203" i="17"/>
  <c r="AR204" i="17" s="1"/>
  <c r="AQ203" i="17"/>
  <c r="AQ204" i="17" s="1"/>
  <c r="AO199" i="17"/>
  <c r="AV211" i="17" l="1"/>
  <c r="L32" i="1"/>
  <c r="Q32" i="1" l="1"/>
  <c r="G58" i="1" l="1"/>
  <c r="D29" i="1"/>
  <c r="J20" i="23" l="1"/>
  <c r="K20" i="23" s="1"/>
  <c r="J33" i="23"/>
  <c r="K33" i="23" s="1"/>
  <c r="J35" i="23"/>
  <c r="K35" i="23" s="1"/>
  <c r="J13" i="23"/>
  <c r="K13" i="23" s="1"/>
  <c r="J6" i="23"/>
  <c r="K6" i="23" s="1"/>
  <c r="K209" i="23"/>
  <c r="K207" i="23"/>
  <c r="K205" i="23"/>
  <c r="K203" i="23"/>
  <c r="K201" i="23"/>
  <c r="K199" i="23"/>
  <c r="K197" i="23"/>
  <c r="K195" i="23"/>
  <c r="K193" i="23"/>
  <c r="K191" i="23"/>
  <c r="K210" i="23"/>
  <c r="K211" i="23"/>
  <c r="K208" i="23"/>
  <c r="K206" i="23"/>
  <c r="K204" i="23"/>
  <c r="K202" i="23"/>
  <c r="K200" i="23"/>
  <c r="K198" i="23"/>
  <c r="K196" i="23"/>
  <c r="K194" i="23"/>
  <c r="K192" i="23"/>
  <c r="K190" i="23"/>
  <c r="J7" i="23"/>
  <c r="K7" i="23" s="1"/>
  <c r="J8" i="23"/>
  <c r="K8" i="23" s="1"/>
  <c r="AF82" i="17"/>
  <c r="AK86" i="17"/>
  <c r="AK87" i="17" s="1"/>
  <c r="AJ86" i="17"/>
  <c r="AJ87" i="17" s="1"/>
  <c r="AI86" i="17"/>
  <c r="AI87" i="17" s="1"/>
  <c r="AH86" i="17"/>
  <c r="AH87" i="17" s="1"/>
  <c r="AL87" i="17" l="1"/>
  <c r="AE82" i="17" s="1"/>
  <c r="AQ9" i="1" l="1"/>
  <c r="O3" i="23" l="1"/>
  <c r="O4" i="23"/>
  <c r="F189" i="23" l="1"/>
  <c r="F188" i="23"/>
  <c r="F187" i="23"/>
  <c r="F185" i="23"/>
  <c r="F186" i="23"/>
  <c r="F159" i="23"/>
  <c r="F168" i="23"/>
  <c r="F169" i="23"/>
  <c r="F156" i="23"/>
  <c r="F160" i="23"/>
  <c r="F166" i="23"/>
  <c r="F180" i="23"/>
  <c r="F172" i="23"/>
  <c r="F176" i="23"/>
  <c r="F182" i="23"/>
  <c r="F158" i="23"/>
  <c r="F183" i="23"/>
  <c r="F181" i="23"/>
  <c r="F155" i="23"/>
  <c r="F184" i="23"/>
  <c r="F179" i="23"/>
  <c r="F161" i="23"/>
  <c r="F167" i="23"/>
  <c r="F153" i="23"/>
  <c r="F154" i="23"/>
  <c r="F174" i="23"/>
  <c r="F171" i="23"/>
  <c r="F177" i="23"/>
  <c r="F178" i="23"/>
  <c r="F157" i="23"/>
  <c r="F152" i="23"/>
  <c r="F165" i="23"/>
  <c r="F164" i="23"/>
  <c r="F175" i="23"/>
  <c r="F173" i="23"/>
  <c r="F170" i="23"/>
  <c r="F163" i="23"/>
  <c r="F162" i="23"/>
  <c r="F113" i="23"/>
  <c r="F133" i="23"/>
  <c r="F85" i="23"/>
  <c r="F117" i="23"/>
  <c r="F122" i="23"/>
  <c r="F53" i="23"/>
  <c r="F33" i="23"/>
  <c r="F44" i="23"/>
  <c r="F20" i="23"/>
  <c r="F35" i="23"/>
  <c r="F69" i="23"/>
  <c r="F13" i="23"/>
  <c r="F114" i="23"/>
  <c r="F253" i="23"/>
  <c r="F249" i="23"/>
  <c r="F245" i="23"/>
  <c r="F241" i="23"/>
  <c r="F233" i="23"/>
  <c r="F229" i="23"/>
  <c r="F221" i="23"/>
  <c r="F210" i="23"/>
  <c r="F202" i="23"/>
  <c r="F190" i="23"/>
  <c r="F248" i="23"/>
  <c r="F236" i="23"/>
  <c r="F228" i="23"/>
  <c r="F220" i="23"/>
  <c r="F212" i="23"/>
  <c r="F205" i="23"/>
  <c r="F193" i="23"/>
  <c r="F251" i="23"/>
  <c r="F243" i="23"/>
  <c r="F235" i="23"/>
  <c r="F227" i="23"/>
  <c r="F219" i="23"/>
  <c r="F204" i="23"/>
  <c r="F196" i="23"/>
  <c r="F250" i="23"/>
  <c r="F246" i="23"/>
  <c r="F242" i="23"/>
  <c r="F238" i="23"/>
  <c r="F234" i="23"/>
  <c r="F230" i="23"/>
  <c r="F226" i="23"/>
  <c r="F222" i="23"/>
  <c r="F218" i="23"/>
  <c r="F214" i="23"/>
  <c r="F211" i="23"/>
  <c r="F207" i="23"/>
  <c r="F203" i="23"/>
  <c r="F199" i="23"/>
  <c r="F195" i="23"/>
  <c r="F191" i="23"/>
  <c r="F237" i="23"/>
  <c r="F225" i="23"/>
  <c r="F217" i="23"/>
  <c r="F213" i="23"/>
  <c r="F206" i="23"/>
  <c r="F198" i="23"/>
  <c r="F194" i="23"/>
  <c r="F252" i="23"/>
  <c r="F244" i="23"/>
  <c r="F240" i="23"/>
  <c r="F232" i="23"/>
  <c r="F224" i="23"/>
  <c r="F216" i="23"/>
  <c r="F209" i="23"/>
  <c r="F201" i="23"/>
  <c r="F197" i="23"/>
  <c r="F247" i="23"/>
  <c r="F239" i="23"/>
  <c r="F231" i="23"/>
  <c r="F223" i="23"/>
  <c r="F215" i="23"/>
  <c r="F208" i="23"/>
  <c r="F200" i="23"/>
  <c r="F192" i="23"/>
  <c r="F7" i="23"/>
  <c r="F6" i="23"/>
  <c r="D45" i="1"/>
  <c r="AF8" i="1" l="1"/>
  <c r="E9" i="23" l="1"/>
  <c r="F129" i="23" l="1"/>
  <c r="F126" i="23"/>
  <c r="F149" i="23"/>
  <c r="F135" i="23"/>
  <c r="F141" i="23"/>
  <c r="F150" i="23"/>
  <c r="F143" i="23"/>
  <c r="F134" i="23"/>
  <c r="F112" i="23"/>
  <c r="F97" i="23"/>
  <c r="F105" i="23"/>
  <c r="F115" i="23"/>
  <c r="F111" i="23"/>
  <c r="F108" i="23"/>
  <c r="F104" i="23"/>
  <c r="F127" i="23"/>
  <c r="F116" i="23"/>
  <c r="F137" i="23"/>
  <c r="F100" i="23"/>
  <c r="F103" i="23"/>
  <c r="F148" i="23"/>
  <c r="F136" i="23"/>
  <c r="F91" i="23"/>
  <c r="F82" i="23"/>
  <c r="F128" i="23"/>
  <c r="F118" i="23"/>
  <c r="F98" i="23"/>
  <c r="F151" i="23"/>
  <c r="F146" i="23"/>
  <c r="F132" i="23"/>
  <c r="F120" i="23"/>
  <c r="F99" i="23"/>
  <c r="F138" i="23"/>
  <c r="F90" i="23"/>
  <c r="F87" i="23"/>
  <c r="F86" i="23"/>
  <c r="F8" i="23"/>
  <c r="F95" i="23"/>
  <c r="F125" i="23"/>
  <c r="F110" i="23"/>
  <c r="F96" i="23"/>
  <c r="F147" i="23"/>
  <c r="F145" i="23"/>
  <c r="F131" i="23"/>
  <c r="F130" i="23"/>
  <c r="F94" i="23"/>
  <c r="F119" i="23"/>
  <c r="F106" i="23"/>
  <c r="F140" i="23"/>
  <c r="F139" i="23"/>
  <c r="F124" i="23"/>
  <c r="F123" i="23"/>
  <c r="F121" i="23"/>
  <c r="F109" i="23"/>
  <c r="F107" i="23"/>
  <c r="F102" i="23"/>
  <c r="F101" i="23"/>
  <c r="F144" i="23"/>
  <c r="F142" i="23"/>
  <c r="F93" i="23"/>
  <c r="F92" i="23"/>
  <c r="F89" i="23"/>
  <c r="F84" i="23"/>
  <c r="F83" i="23"/>
  <c r="F81" i="23"/>
  <c r="F56" i="23" l="1"/>
  <c r="F57" i="23"/>
  <c r="F58" i="23"/>
  <c r="F59" i="23"/>
  <c r="F60" i="23"/>
  <c r="F61" i="23"/>
  <c r="F62" i="23"/>
  <c r="F63" i="23"/>
  <c r="F65" i="23"/>
  <c r="F66" i="23"/>
  <c r="F67" i="23"/>
  <c r="F70" i="23"/>
  <c r="F71" i="23"/>
  <c r="F72" i="23"/>
  <c r="F73" i="23"/>
  <c r="F74" i="23"/>
  <c r="F75" i="23"/>
  <c r="F76" i="23"/>
  <c r="F77" i="23"/>
  <c r="F78" i="23"/>
  <c r="F79" i="23"/>
  <c r="F80" i="23"/>
  <c r="F10" i="23"/>
  <c r="F11" i="23"/>
  <c r="F12" i="23"/>
  <c r="F14" i="23"/>
  <c r="F15" i="23"/>
  <c r="F16" i="23"/>
  <c r="F17" i="23"/>
  <c r="F18" i="23"/>
  <c r="F19" i="23"/>
  <c r="F21" i="23"/>
  <c r="F22" i="23"/>
  <c r="F23" i="23"/>
  <c r="F24" i="23"/>
  <c r="F25" i="23"/>
  <c r="F26" i="23"/>
  <c r="F27" i="23"/>
  <c r="F28" i="23"/>
  <c r="F29" i="23"/>
  <c r="F30" i="23"/>
  <c r="F31" i="23"/>
  <c r="F32" i="23"/>
  <c r="F34" i="23"/>
  <c r="F36" i="23"/>
  <c r="F37" i="23"/>
  <c r="F38" i="23"/>
  <c r="F39" i="23"/>
  <c r="F40" i="23"/>
  <c r="F41" i="23"/>
  <c r="F42" i="23"/>
  <c r="F43" i="23"/>
  <c r="F45" i="23"/>
  <c r="F47" i="23"/>
  <c r="F48" i="23"/>
  <c r="F49" i="23"/>
  <c r="F50" i="23"/>
  <c r="F51" i="23"/>
  <c r="F52" i="23"/>
  <c r="F54" i="23"/>
  <c r="F55" i="23"/>
  <c r="H9" i="23"/>
  <c r="J9" i="23" s="1"/>
  <c r="G9" i="23"/>
  <c r="F9" i="23" s="1"/>
  <c r="D9" i="23"/>
  <c r="B9" i="23"/>
  <c r="A9" i="23"/>
  <c r="C9" i="23" l="1"/>
  <c r="M48" i="1" s="1"/>
  <c r="J32" i="23"/>
  <c r="K32" i="23" s="1"/>
  <c r="J30" i="23"/>
  <c r="K30" i="23" s="1"/>
  <c r="J28" i="23"/>
  <c r="K28" i="23" s="1"/>
  <c r="J26" i="23"/>
  <c r="K26" i="23" s="1"/>
  <c r="J24" i="23"/>
  <c r="K24" i="23" s="1"/>
  <c r="J16" i="23"/>
  <c r="K16" i="23" s="1"/>
  <c r="J10" i="23"/>
  <c r="K10" i="23" s="1"/>
  <c r="J14" i="23"/>
  <c r="K14" i="23" s="1"/>
  <c r="K9" i="23"/>
  <c r="J41" i="23"/>
  <c r="K41" i="23" s="1"/>
  <c r="J23" i="23"/>
  <c r="K23" i="23" s="1"/>
  <c r="J21" i="23"/>
  <c r="K21" i="23" s="1"/>
  <c r="J18" i="23"/>
  <c r="K18" i="23" s="1"/>
  <c r="J15" i="23"/>
  <c r="K15" i="23" s="1"/>
  <c r="J11" i="23"/>
  <c r="K11" i="23" s="1"/>
  <c r="J39" i="23"/>
  <c r="K39" i="23" s="1"/>
  <c r="J37" i="23"/>
  <c r="K37" i="23" s="1"/>
  <c r="J34" i="23"/>
  <c r="K34" i="23" s="1"/>
  <c r="J31" i="23"/>
  <c r="K31" i="23" s="1"/>
  <c r="J29" i="23"/>
  <c r="K29" i="23" s="1"/>
  <c r="J27" i="23"/>
  <c r="K27" i="23" s="1"/>
  <c r="J25" i="23"/>
  <c r="K25" i="23" s="1"/>
  <c r="J17" i="23"/>
  <c r="K17" i="23" s="1"/>
  <c r="J42" i="23"/>
  <c r="K42" i="23" s="1"/>
  <c r="J40" i="23"/>
  <c r="K40" i="23" s="1"/>
  <c r="J38" i="23"/>
  <c r="K38" i="23" s="1"/>
  <c r="J36" i="23"/>
  <c r="K36" i="23" s="1"/>
  <c r="J22" i="23"/>
  <c r="K22" i="23" s="1"/>
  <c r="J19" i="23"/>
  <c r="K19" i="23" s="1"/>
  <c r="J12" i="23"/>
  <c r="K12" i="23" s="1"/>
  <c r="M22" i="1" l="1"/>
  <c r="M29" i="1"/>
  <c r="M16" i="1"/>
  <c r="M17" i="1"/>
  <c r="M19" i="1"/>
  <c r="C26" i="17"/>
  <c r="C97" i="17"/>
  <c r="C98" i="17"/>
  <c r="C22" i="17"/>
  <c r="AU172" i="17"/>
  <c r="AT172" i="17"/>
  <c r="AS172" i="17"/>
  <c r="AR172" i="17"/>
  <c r="AQ172" i="17"/>
  <c r="G16" i="1" l="1"/>
  <c r="G17" i="1"/>
  <c r="G22" i="1"/>
  <c r="G19" i="1"/>
  <c r="AV184" i="17"/>
  <c r="AN167" i="17" s="1"/>
  <c r="C36" i="1"/>
  <c r="AG37" i="1"/>
  <c r="AI37" i="1" s="1"/>
  <c r="AK37" i="1" s="1"/>
  <c r="AF37" i="1"/>
  <c r="AH37" i="1" s="1"/>
  <c r="AJ37" i="1" s="1"/>
  <c r="I5" i="26"/>
  <c r="I6" i="26" s="1"/>
  <c r="C136" i="1" l="1"/>
  <c r="H10" i="25"/>
  <c r="I10" i="25"/>
  <c r="J10" i="25"/>
  <c r="H11" i="25"/>
  <c r="I11" i="25"/>
  <c r="J11" i="25"/>
  <c r="H12" i="25"/>
  <c r="I12" i="25"/>
  <c r="J12" i="25"/>
  <c r="H13" i="25"/>
  <c r="I13" i="25"/>
  <c r="J13" i="25"/>
  <c r="H14" i="25"/>
  <c r="I14" i="25"/>
  <c r="J14" i="25"/>
  <c r="H15" i="25"/>
  <c r="I15" i="25"/>
  <c r="J15" i="25"/>
  <c r="H16" i="25"/>
  <c r="I16" i="25"/>
  <c r="J16" i="25"/>
  <c r="H17" i="25"/>
  <c r="I17" i="25"/>
  <c r="J17" i="25"/>
  <c r="H18" i="25"/>
  <c r="I18" i="25"/>
  <c r="J18" i="25"/>
  <c r="H19" i="25"/>
  <c r="I19" i="25"/>
  <c r="J19" i="25"/>
  <c r="H20" i="25"/>
  <c r="I20" i="25"/>
  <c r="J20" i="25"/>
  <c r="H21" i="25"/>
  <c r="I21" i="25"/>
  <c r="J21" i="25"/>
  <c r="H22" i="25"/>
  <c r="I22" i="25"/>
  <c r="J22" i="25"/>
  <c r="H23" i="25"/>
  <c r="I23" i="25"/>
  <c r="J23" i="25"/>
  <c r="H24" i="25"/>
  <c r="I24" i="25"/>
  <c r="J24" i="25"/>
  <c r="H25" i="25"/>
  <c r="I25" i="25"/>
  <c r="J25" i="25"/>
  <c r="H26" i="25"/>
  <c r="I26" i="25"/>
  <c r="J26" i="25"/>
  <c r="H27" i="25"/>
  <c r="I27" i="25"/>
  <c r="J27" i="25"/>
  <c r="H28" i="25"/>
  <c r="I28" i="25"/>
  <c r="J28" i="25"/>
  <c r="H29" i="25"/>
  <c r="I29" i="25"/>
  <c r="J29" i="25"/>
  <c r="H30" i="25"/>
  <c r="I30" i="25"/>
  <c r="J30" i="25"/>
  <c r="H31" i="25"/>
  <c r="I31" i="25"/>
  <c r="J31" i="25"/>
  <c r="H32" i="25"/>
  <c r="I32" i="25"/>
  <c r="J32" i="25"/>
  <c r="H33" i="25"/>
  <c r="I33" i="25"/>
  <c r="J33" i="25"/>
  <c r="H34" i="25"/>
  <c r="I34" i="25"/>
  <c r="J34" i="25"/>
  <c r="H35" i="25"/>
  <c r="I35" i="25"/>
  <c r="J35" i="25"/>
  <c r="H36" i="25"/>
  <c r="I36" i="25"/>
  <c r="J36" i="25"/>
  <c r="H37" i="25"/>
  <c r="I37" i="25"/>
  <c r="J37" i="25"/>
  <c r="H38" i="25"/>
  <c r="I38" i="25"/>
  <c r="J38" i="25"/>
  <c r="H39" i="25"/>
  <c r="I39" i="25"/>
  <c r="J39" i="25"/>
  <c r="H40" i="25"/>
  <c r="I40" i="25"/>
  <c r="J40" i="25"/>
  <c r="H41" i="25"/>
  <c r="I41" i="25"/>
  <c r="J41" i="25"/>
  <c r="H42" i="25"/>
  <c r="I42" i="25"/>
  <c r="J42" i="25"/>
  <c r="H43" i="25"/>
  <c r="I43" i="25"/>
  <c r="J43" i="25"/>
  <c r="H44" i="25"/>
  <c r="I44" i="25"/>
  <c r="J44" i="25"/>
  <c r="H45" i="25"/>
  <c r="I45" i="25"/>
  <c r="J45" i="25"/>
  <c r="H46" i="25"/>
  <c r="I46" i="25"/>
  <c r="J46" i="25"/>
  <c r="H47" i="25"/>
  <c r="I47" i="25"/>
  <c r="J47" i="25"/>
  <c r="H48" i="25"/>
  <c r="I48" i="25"/>
  <c r="J48" i="25"/>
  <c r="H49" i="25"/>
  <c r="I49" i="25"/>
  <c r="J49" i="25"/>
  <c r="H50" i="25"/>
  <c r="I50" i="25"/>
  <c r="J50" i="25"/>
  <c r="H51" i="25"/>
  <c r="I51" i="25"/>
  <c r="J51" i="25"/>
  <c r="H52" i="25"/>
  <c r="I52" i="25"/>
  <c r="J52" i="25"/>
  <c r="H53" i="25"/>
  <c r="I53" i="25"/>
  <c r="J53" i="25"/>
  <c r="H54" i="25"/>
  <c r="I54" i="25"/>
  <c r="J54" i="25"/>
  <c r="H55" i="25"/>
  <c r="I55" i="25"/>
  <c r="J55" i="25"/>
  <c r="H56" i="25"/>
  <c r="I56" i="25"/>
  <c r="J56" i="25"/>
  <c r="H57" i="25"/>
  <c r="I57" i="25"/>
  <c r="J57" i="25"/>
  <c r="H58" i="25"/>
  <c r="I58" i="25"/>
  <c r="J58" i="25"/>
  <c r="H59" i="25"/>
  <c r="I59" i="25"/>
  <c r="J59" i="25"/>
  <c r="H60" i="25"/>
  <c r="I60" i="25"/>
  <c r="J60" i="25"/>
  <c r="H61" i="25"/>
  <c r="I61" i="25"/>
  <c r="J61" i="25"/>
  <c r="H62" i="25"/>
  <c r="I62" i="25"/>
  <c r="J62" i="25"/>
  <c r="H63" i="25"/>
  <c r="I63" i="25"/>
  <c r="J63" i="25"/>
  <c r="H64" i="25"/>
  <c r="I64" i="25"/>
  <c r="J64" i="25"/>
  <c r="H65" i="25"/>
  <c r="I65" i="25"/>
  <c r="J65" i="25"/>
  <c r="H66" i="25"/>
  <c r="I66" i="25"/>
  <c r="J66" i="25"/>
  <c r="H67" i="25"/>
  <c r="I67" i="25"/>
  <c r="J67" i="25"/>
  <c r="H68" i="25"/>
  <c r="I68" i="25"/>
  <c r="J68" i="25"/>
  <c r="H69" i="25"/>
  <c r="I69" i="25"/>
  <c r="J69" i="25"/>
  <c r="H70" i="25"/>
  <c r="I70" i="25"/>
  <c r="J70" i="25"/>
  <c r="H71" i="25"/>
  <c r="I71" i="25"/>
  <c r="J71" i="25"/>
  <c r="H72" i="25"/>
  <c r="I72" i="25"/>
  <c r="J72" i="25"/>
  <c r="H73" i="25"/>
  <c r="I73" i="25"/>
  <c r="J73" i="25"/>
  <c r="H74" i="25"/>
  <c r="I74" i="25"/>
  <c r="J74" i="25"/>
  <c r="H75" i="25"/>
  <c r="I75" i="25"/>
  <c r="J75" i="25"/>
  <c r="H76" i="25"/>
  <c r="I76" i="25"/>
  <c r="J76" i="25"/>
  <c r="H77" i="25"/>
  <c r="I77" i="25"/>
  <c r="J77" i="25"/>
  <c r="H78" i="25"/>
  <c r="I78" i="25"/>
  <c r="J78" i="25"/>
  <c r="H79" i="25"/>
  <c r="I79" i="25"/>
  <c r="J79" i="25"/>
  <c r="H80" i="25"/>
  <c r="I80" i="25"/>
  <c r="J80" i="25"/>
  <c r="H81" i="25"/>
  <c r="I81" i="25"/>
  <c r="J81" i="25"/>
  <c r="H82" i="25"/>
  <c r="I82" i="25"/>
  <c r="J82" i="25"/>
  <c r="H83" i="25"/>
  <c r="I83" i="25"/>
  <c r="J83" i="25"/>
  <c r="H84" i="25"/>
  <c r="I84" i="25"/>
  <c r="J84" i="25"/>
  <c r="H85" i="25"/>
  <c r="I85" i="25"/>
  <c r="J85" i="25"/>
  <c r="H86" i="25"/>
  <c r="I86" i="25"/>
  <c r="J86" i="25"/>
  <c r="H87" i="25"/>
  <c r="I87" i="25"/>
  <c r="J87" i="25"/>
  <c r="H88" i="25"/>
  <c r="I88" i="25"/>
  <c r="J88" i="25"/>
  <c r="H89" i="25"/>
  <c r="I89" i="25"/>
  <c r="J89" i="25"/>
  <c r="H90" i="25"/>
  <c r="I90" i="25"/>
  <c r="J90" i="25"/>
  <c r="H91" i="25"/>
  <c r="I91" i="25"/>
  <c r="J91" i="25"/>
  <c r="H92" i="25"/>
  <c r="I92" i="25"/>
  <c r="J92" i="25"/>
  <c r="H93" i="25"/>
  <c r="I93" i="25"/>
  <c r="J93" i="25"/>
  <c r="H94" i="25"/>
  <c r="I94" i="25"/>
  <c r="J94" i="25"/>
  <c r="H95" i="25"/>
  <c r="I95" i="25"/>
  <c r="J95" i="25"/>
  <c r="H96" i="25"/>
  <c r="I96" i="25"/>
  <c r="J96" i="25"/>
  <c r="H97" i="25"/>
  <c r="I97" i="25"/>
  <c r="J97" i="25"/>
  <c r="H98" i="25"/>
  <c r="I98" i="25"/>
  <c r="J98" i="25"/>
  <c r="H99" i="25"/>
  <c r="H104" i="25" s="1"/>
  <c r="I99" i="25"/>
  <c r="I102" i="25" s="1"/>
  <c r="J99" i="25"/>
  <c r="I103" i="25"/>
  <c r="I105" i="25"/>
  <c r="I108" i="25"/>
  <c r="I111" i="25"/>
  <c r="I113" i="25"/>
  <c r="H115" i="25"/>
  <c r="I115" i="25"/>
  <c r="I117"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3" i="25" s="1"/>
  <c r="G34" i="25"/>
  <c r="G11" i="25"/>
  <c r="G12" i="25"/>
  <c r="G13" i="25"/>
  <c r="G14" i="25"/>
  <c r="G15" i="25"/>
  <c r="G16" i="25"/>
  <c r="G17" i="25"/>
  <c r="G18" i="25"/>
  <c r="G19" i="25"/>
  <c r="G20" i="25"/>
  <c r="G21" i="25"/>
  <c r="G22" i="25"/>
  <c r="G23" i="25"/>
  <c r="G24" i="25"/>
  <c r="G25" i="25"/>
  <c r="G26" i="25"/>
  <c r="G27" i="25"/>
  <c r="G28" i="25"/>
  <c r="G29" i="25"/>
  <c r="G30" i="25"/>
  <c r="G31" i="25"/>
  <c r="G32" i="25"/>
  <c r="G33" i="25"/>
  <c r="G10" i="25"/>
  <c r="I119" i="25" l="1"/>
  <c r="I116" i="25"/>
  <c r="I112" i="25"/>
  <c r="I109" i="25"/>
  <c r="I107" i="25"/>
  <c r="I104" i="25"/>
  <c r="I101" i="25"/>
  <c r="J100" i="25"/>
  <c r="J107" i="25"/>
  <c r="J109" i="25"/>
  <c r="J114" i="25"/>
  <c r="J118" i="25"/>
  <c r="J103" i="25"/>
  <c r="J105" i="25"/>
  <c r="J110" i="25"/>
  <c r="J112" i="25"/>
  <c r="J116" i="25"/>
  <c r="J101" i="25"/>
  <c r="J106" i="25"/>
  <c r="J108" i="25"/>
  <c r="J119" i="25"/>
  <c r="J124" i="25" s="1"/>
  <c r="J104" i="25"/>
  <c r="J115" i="25"/>
  <c r="J102" i="25"/>
  <c r="J113" i="25"/>
  <c r="J111" i="25"/>
  <c r="J117" i="25"/>
  <c r="I124" i="25"/>
  <c r="G118" i="25"/>
  <c r="G110" i="25"/>
  <c r="G102" i="25"/>
  <c r="I120" i="25"/>
  <c r="G117" i="25"/>
  <c r="G109" i="25"/>
  <c r="G101" i="25"/>
  <c r="G116" i="25"/>
  <c r="G108" i="25"/>
  <c r="G115" i="25"/>
  <c r="G107" i="25"/>
  <c r="J145" i="25"/>
  <c r="I141" i="25"/>
  <c r="J136" i="25"/>
  <c r="I132" i="25"/>
  <c r="J127" i="25"/>
  <c r="I123" i="25"/>
  <c r="G114" i="25"/>
  <c r="G106" i="25"/>
  <c r="J122" i="25"/>
  <c r="G113" i="25"/>
  <c r="G105" i="25"/>
  <c r="J190" i="25"/>
  <c r="J185" i="25"/>
  <c r="I181" i="25"/>
  <c r="J176" i="25"/>
  <c r="I172" i="25"/>
  <c r="J167" i="25"/>
  <c r="I163" i="25"/>
  <c r="J158" i="25"/>
  <c r="J153" i="25"/>
  <c r="I149" i="25"/>
  <c r="J144" i="25"/>
  <c r="I140" i="25"/>
  <c r="J135" i="25"/>
  <c r="I131" i="25"/>
  <c r="J126" i="25"/>
  <c r="J121" i="25"/>
  <c r="I100" i="25"/>
  <c r="G100" i="25"/>
  <c r="G112" i="25"/>
  <c r="G104" i="25"/>
  <c r="J180" i="25"/>
  <c r="I176" i="25"/>
  <c r="J171" i="25"/>
  <c r="I167" i="25"/>
  <c r="J162" i="25"/>
  <c r="J157" i="25"/>
  <c r="I153" i="25"/>
  <c r="J148" i="25"/>
  <c r="I144" i="25"/>
  <c r="J139" i="25"/>
  <c r="I135" i="25"/>
  <c r="J130" i="25"/>
  <c r="J125" i="25"/>
  <c r="I121" i="25"/>
  <c r="G119" i="25"/>
  <c r="G111" i="25"/>
  <c r="J184" i="25"/>
  <c r="I180" i="25"/>
  <c r="J175" i="25"/>
  <c r="I171" i="25"/>
  <c r="J166" i="25"/>
  <c r="J161" i="25"/>
  <c r="I157" i="25"/>
  <c r="J152" i="25"/>
  <c r="I148" i="25"/>
  <c r="J143" i="25"/>
  <c r="I139" i="25"/>
  <c r="J134" i="25"/>
  <c r="J129" i="25"/>
  <c r="I125" i="25"/>
  <c r="H102" i="25"/>
  <c r="H106" i="25"/>
  <c r="H110" i="25"/>
  <c r="H114" i="25"/>
  <c r="H118" i="25"/>
  <c r="H101" i="25"/>
  <c r="H105" i="25"/>
  <c r="H109" i="25"/>
  <c r="H113" i="25"/>
  <c r="H117" i="25"/>
  <c r="H116" i="25"/>
  <c r="H111" i="25"/>
  <c r="H100" i="25"/>
  <c r="H112" i="25"/>
  <c r="H107" i="25"/>
  <c r="H119" i="25"/>
  <c r="H108" i="25"/>
  <c r="H103" i="25"/>
  <c r="I194" i="25"/>
  <c r="I190" i="25"/>
  <c r="I186" i="25"/>
  <c r="I182" i="25"/>
  <c r="I178" i="25"/>
  <c r="I174" i="25"/>
  <c r="I170" i="25"/>
  <c r="I166" i="25"/>
  <c r="I162" i="25"/>
  <c r="I158" i="25"/>
  <c r="I154" i="25"/>
  <c r="I150" i="25"/>
  <c r="I146" i="25"/>
  <c r="I142" i="25"/>
  <c r="I138" i="25"/>
  <c r="I134" i="25"/>
  <c r="I130" i="25"/>
  <c r="I126" i="25"/>
  <c r="I118" i="25"/>
  <c r="I114" i="25"/>
  <c r="I110" i="25"/>
  <c r="I106" i="25"/>
  <c r="G23" i="1"/>
  <c r="AF22" i="1"/>
  <c r="AF21" i="1"/>
  <c r="AF12" i="1"/>
  <c r="G21" i="1"/>
  <c r="AF14" i="1"/>
  <c r="AO2" i="17"/>
  <c r="AV6" i="17"/>
  <c r="AV7" i="17" s="1"/>
  <c r="AU6" i="17"/>
  <c r="AU7" i="17" s="1"/>
  <c r="AT6" i="17"/>
  <c r="AT7" i="17" s="1"/>
  <c r="AS6" i="17"/>
  <c r="AS7" i="17" s="1"/>
  <c r="AR6" i="17"/>
  <c r="AR7" i="17" s="1"/>
  <c r="AQ6" i="17"/>
  <c r="AQ7" i="17" s="1"/>
  <c r="AH6" i="17"/>
  <c r="AH7" i="17" s="1"/>
  <c r="AI6" i="17"/>
  <c r="AI7" i="17" s="1"/>
  <c r="AK6" i="17"/>
  <c r="AK7" i="17" s="1"/>
  <c r="AL6" i="17"/>
  <c r="AL7" i="17" s="1"/>
  <c r="AJ6" i="17"/>
  <c r="AJ7" i="17" s="1"/>
  <c r="AF2" i="17"/>
  <c r="G18" i="1"/>
  <c r="H11" i="10"/>
  <c r="H47" i="10" s="1"/>
  <c r="B100" i="10"/>
  <c r="L3" i="9"/>
  <c r="D24" i="9" s="1"/>
  <c r="I3" i="11"/>
  <c r="J5" i="11" s="1"/>
  <c r="B62" i="10"/>
  <c r="B76" i="10"/>
  <c r="B88" i="10"/>
  <c r="B112" i="10"/>
  <c r="B38" i="10"/>
  <c r="B26" i="10"/>
  <c r="B14" i="10"/>
  <c r="B55" i="19"/>
  <c r="A102" i="19" s="1"/>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G94" i="19"/>
  <c r="J150" i="25" l="1"/>
  <c r="I122" i="25"/>
  <c r="I127" i="25"/>
  <c r="I129" i="25"/>
  <c r="I136" i="25"/>
  <c r="I143" i="25"/>
  <c r="I147" i="25"/>
  <c r="I152" i="25"/>
  <c r="I156" i="25"/>
  <c r="I160" i="25"/>
  <c r="I164" i="25"/>
  <c r="I168" i="25"/>
  <c r="I173" i="25"/>
  <c r="I177" i="25"/>
  <c r="I183" i="25"/>
  <c r="I185" i="25"/>
  <c r="I188" i="25"/>
  <c r="I191" i="25"/>
  <c r="I193" i="25"/>
  <c r="I196" i="25"/>
  <c r="I198" i="25"/>
  <c r="I200" i="25"/>
  <c r="I202" i="25"/>
  <c r="I204" i="25"/>
  <c r="I206" i="25"/>
  <c r="I208" i="25"/>
  <c r="I210" i="25"/>
  <c r="I212" i="25"/>
  <c r="I214" i="25"/>
  <c r="I216" i="25"/>
  <c r="I218" i="25"/>
  <c r="I220" i="25"/>
  <c r="I222" i="25"/>
  <c r="I224" i="25"/>
  <c r="I226" i="25"/>
  <c r="I228" i="25"/>
  <c r="I230" i="25"/>
  <c r="I128" i="25"/>
  <c r="I133" i="25"/>
  <c r="I137" i="25"/>
  <c r="I145" i="25"/>
  <c r="I151" i="25"/>
  <c r="I155" i="25"/>
  <c r="I159" i="25"/>
  <c r="I161" i="25"/>
  <c r="I165" i="25"/>
  <c r="I169" i="25"/>
  <c r="I175" i="25"/>
  <c r="I179" i="25"/>
  <c r="I184" i="25"/>
  <c r="I187" i="25"/>
  <c r="I189" i="25"/>
  <c r="I192" i="25"/>
  <c r="I195" i="25"/>
  <c r="I197" i="25"/>
  <c r="I199" i="25"/>
  <c r="I201" i="25"/>
  <c r="I203" i="25"/>
  <c r="I205" i="25"/>
  <c r="I207" i="25"/>
  <c r="I209" i="25"/>
  <c r="I211" i="25"/>
  <c r="I213" i="25"/>
  <c r="I215" i="25"/>
  <c r="I217" i="25"/>
  <c r="I219" i="25"/>
  <c r="I221" i="25"/>
  <c r="I223" i="25"/>
  <c r="I225" i="25"/>
  <c r="I227" i="25"/>
  <c r="I229" i="25"/>
  <c r="I231" i="25"/>
  <c r="I233" i="25"/>
  <c r="I235" i="25"/>
  <c r="I237" i="25"/>
  <c r="I239" i="25"/>
  <c r="I241" i="25"/>
  <c r="I243" i="25"/>
  <c r="I245" i="25"/>
  <c r="I247" i="25"/>
  <c r="I249" i="25"/>
  <c r="I251" i="25"/>
  <c r="I253" i="25"/>
  <c r="I255" i="25"/>
  <c r="I257" i="25"/>
  <c r="I259" i="25"/>
  <c r="I261" i="25"/>
  <c r="I263" i="25"/>
  <c r="I265" i="25"/>
  <c r="I267" i="25"/>
  <c r="I269" i="25"/>
  <c r="I271" i="25"/>
  <c r="I273" i="25"/>
  <c r="I275" i="25"/>
  <c r="I277" i="25"/>
  <c r="I279" i="25"/>
  <c r="I281" i="25"/>
  <c r="I283" i="25"/>
  <c r="I285" i="25"/>
  <c r="I287" i="25"/>
  <c r="I289" i="25"/>
  <c r="I291" i="25"/>
  <c r="I293" i="25"/>
  <c r="I295" i="25"/>
  <c r="I297" i="25"/>
  <c r="I299" i="25"/>
  <c r="I301" i="25"/>
  <c r="I303" i="25"/>
  <c r="I305" i="25"/>
  <c r="I307" i="25"/>
  <c r="I309" i="25"/>
  <c r="I311" i="25"/>
  <c r="I313" i="25"/>
  <c r="I315" i="25"/>
  <c r="I317" i="25"/>
  <c r="I319" i="25"/>
  <c r="I232" i="25"/>
  <c r="I236" i="25"/>
  <c r="I240" i="25"/>
  <c r="I244" i="25"/>
  <c r="I248" i="25"/>
  <c r="I252" i="25"/>
  <c r="I256" i="25"/>
  <c r="I260" i="25"/>
  <c r="I264" i="25"/>
  <c r="I268" i="25"/>
  <c r="I272" i="25"/>
  <c r="I276" i="25"/>
  <c r="I280" i="25"/>
  <c r="I284" i="25"/>
  <c r="I288" i="25"/>
  <c r="I292" i="25"/>
  <c r="I296" i="25"/>
  <c r="I300" i="25"/>
  <c r="I304" i="25"/>
  <c r="I308" i="25"/>
  <c r="I312" i="25"/>
  <c r="I316" i="25"/>
  <c r="I320" i="25"/>
  <c r="I322" i="25"/>
  <c r="I324" i="25"/>
  <c r="I326" i="25"/>
  <c r="I328" i="25"/>
  <c r="I330" i="25"/>
  <c r="I332" i="25"/>
  <c r="I334" i="25"/>
  <c r="I336" i="25"/>
  <c r="I338" i="25"/>
  <c r="I340" i="25"/>
  <c r="I342" i="25"/>
  <c r="I344" i="25"/>
  <c r="I346" i="25"/>
  <c r="I348" i="25"/>
  <c r="I350" i="25"/>
  <c r="I352" i="25"/>
  <c r="I354" i="25"/>
  <c r="I356" i="25"/>
  <c r="I358" i="25"/>
  <c r="I360" i="25"/>
  <c r="I362" i="25"/>
  <c r="I364" i="25"/>
  <c r="I366" i="25"/>
  <c r="I368" i="25"/>
  <c r="I370" i="25"/>
  <c r="I372" i="25"/>
  <c r="I374" i="25"/>
  <c r="I376" i="25"/>
  <c r="I378" i="25"/>
  <c r="I380" i="25"/>
  <c r="I382" i="25"/>
  <c r="I384" i="25"/>
  <c r="I386" i="25"/>
  <c r="I388" i="25"/>
  <c r="I390" i="25"/>
  <c r="I392" i="25"/>
  <c r="I394" i="25"/>
  <c r="I396" i="25"/>
  <c r="I398" i="25"/>
  <c r="I400" i="25"/>
  <c r="I402" i="25"/>
  <c r="I404" i="25"/>
  <c r="I406" i="25"/>
  <c r="I408" i="25"/>
  <c r="I410" i="25"/>
  <c r="I412" i="25"/>
  <c r="I414" i="25"/>
  <c r="I416" i="25"/>
  <c r="I418" i="25"/>
  <c r="I420" i="25"/>
  <c r="I422" i="25"/>
  <c r="I424" i="25"/>
  <c r="I426" i="25"/>
  <c r="I428" i="25"/>
  <c r="I430" i="25"/>
  <c r="I432" i="25"/>
  <c r="I434" i="25"/>
  <c r="I436" i="25"/>
  <c r="I438" i="25"/>
  <c r="I440" i="25"/>
  <c r="I442" i="25"/>
  <c r="I444" i="25"/>
  <c r="I234" i="25"/>
  <c r="I238" i="25"/>
  <c r="I242" i="25"/>
  <c r="I246" i="25"/>
  <c r="I250" i="25"/>
  <c r="I254" i="25"/>
  <c r="I258" i="25"/>
  <c r="I262" i="25"/>
  <c r="I266" i="25"/>
  <c r="I270" i="25"/>
  <c r="I274" i="25"/>
  <c r="I278" i="25"/>
  <c r="I282" i="25"/>
  <c r="I286" i="25"/>
  <c r="I290" i="25"/>
  <c r="I294" i="25"/>
  <c r="I298" i="25"/>
  <c r="I302" i="25"/>
  <c r="I306" i="25"/>
  <c r="I310" i="25"/>
  <c r="I314" i="25"/>
  <c r="I318" i="25"/>
  <c r="I321" i="25"/>
  <c r="I323" i="25"/>
  <c r="I325" i="25"/>
  <c r="I327" i="25"/>
  <c r="I329" i="25"/>
  <c r="I331" i="25"/>
  <c r="I333" i="25"/>
  <c r="I335" i="25"/>
  <c r="I337" i="25"/>
  <c r="I339" i="25"/>
  <c r="I341" i="25"/>
  <c r="I343" i="25"/>
  <c r="I345" i="25"/>
  <c r="I347" i="25"/>
  <c r="I349" i="25"/>
  <c r="I351" i="25"/>
  <c r="I353" i="25"/>
  <c r="I355" i="25"/>
  <c r="I357" i="25"/>
  <c r="I359" i="25"/>
  <c r="I361" i="25"/>
  <c r="I363" i="25"/>
  <c r="I365" i="25"/>
  <c r="I367" i="25"/>
  <c r="I369" i="25"/>
  <c r="I371" i="25"/>
  <c r="I373" i="25"/>
  <c r="I375" i="25"/>
  <c r="I377" i="25"/>
  <c r="I379" i="25"/>
  <c r="I381" i="25"/>
  <c r="I383" i="25"/>
  <c r="I385" i="25"/>
  <c r="I387" i="25"/>
  <c r="I389" i="25"/>
  <c r="I391" i="25"/>
  <c r="I393" i="25"/>
  <c r="I395" i="25"/>
  <c r="I397" i="25"/>
  <c r="I399" i="25"/>
  <c r="I401" i="25"/>
  <c r="I403" i="25"/>
  <c r="I405" i="25"/>
  <c r="I407" i="25"/>
  <c r="I409" i="25"/>
  <c r="I411" i="25"/>
  <c r="I413" i="25"/>
  <c r="I415" i="25"/>
  <c r="I417" i="25"/>
  <c r="I419" i="25"/>
  <c r="I421" i="25"/>
  <c r="I423" i="25"/>
  <c r="I425" i="25"/>
  <c r="I427" i="25"/>
  <c r="I429" i="25"/>
  <c r="I431" i="25"/>
  <c r="I433" i="25"/>
  <c r="I435" i="25"/>
  <c r="I437" i="25"/>
  <c r="I439" i="25"/>
  <c r="I441" i="25"/>
  <c r="I443" i="25"/>
  <c r="I445" i="25"/>
  <c r="I447" i="25"/>
  <c r="I449" i="25"/>
  <c r="I451" i="25"/>
  <c r="I453" i="25"/>
  <c r="I455" i="25"/>
  <c r="I457" i="25"/>
  <c r="I446" i="25"/>
  <c r="I450" i="25"/>
  <c r="I454" i="25"/>
  <c r="I458" i="25"/>
  <c r="I460" i="25"/>
  <c r="I462" i="25"/>
  <c r="I464" i="25"/>
  <c r="I466" i="25"/>
  <c r="I468" i="25"/>
  <c r="I470" i="25"/>
  <c r="I472" i="25"/>
  <c r="I474" i="25"/>
  <c r="I476" i="25"/>
  <c r="I478" i="25"/>
  <c r="I480" i="25"/>
  <c r="I482" i="25"/>
  <c r="I484" i="25"/>
  <c r="I486" i="25"/>
  <c r="I488" i="25"/>
  <c r="I490" i="25"/>
  <c r="I492" i="25"/>
  <c r="I494" i="25"/>
  <c r="I496" i="25"/>
  <c r="I498" i="25"/>
  <c r="I500" i="25"/>
  <c r="I502" i="25"/>
  <c r="I504" i="25"/>
  <c r="I506" i="25"/>
  <c r="I508" i="25"/>
  <c r="I448" i="25"/>
  <c r="I452" i="25"/>
  <c r="I456" i="25"/>
  <c r="I459" i="25"/>
  <c r="I461" i="25"/>
  <c r="I463" i="25"/>
  <c r="I465" i="25"/>
  <c r="I467" i="25"/>
  <c r="I469" i="25"/>
  <c r="I471" i="25"/>
  <c r="I473" i="25"/>
  <c r="I475" i="25"/>
  <c r="I477" i="25"/>
  <c r="I479" i="25"/>
  <c r="I481" i="25"/>
  <c r="I483" i="25"/>
  <c r="I485" i="25"/>
  <c r="I487" i="25"/>
  <c r="I489" i="25"/>
  <c r="I491" i="25"/>
  <c r="I493" i="25"/>
  <c r="I495" i="25"/>
  <c r="I497" i="25"/>
  <c r="I499" i="25"/>
  <c r="I501" i="25"/>
  <c r="I503" i="25"/>
  <c r="I505" i="25"/>
  <c r="I507" i="25"/>
  <c r="I509" i="25"/>
  <c r="J120" i="25"/>
  <c r="J133" i="25"/>
  <c r="J138" i="25"/>
  <c r="J147" i="25"/>
  <c r="J170" i="25"/>
  <c r="J174" i="25"/>
  <c r="J178" i="25"/>
  <c r="J182" i="25"/>
  <c r="J195" i="25"/>
  <c r="J197" i="25"/>
  <c r="J199" i="25"/>
  <c r="J201" i="25"/>
  <c r="J203" i="25"/>
  <c r="J205" i="25"/>
  <c r="J207" i="25"/>
  <c r="J209" i="25"/>
  <c r="J211" i="25"/>
  <c r="J213" i="25"/>
  <c r="J215" i="25"/>
  <c r="J217" i="25"/>
  <c r="J219" i="25"/>
  <c r="J221" i="25"/>
  <c r="J223" i="25"/>
  <c r="J225" i="25"/>
  <c r="J227" i="25"/>
  <c r="J229" i="25"/>
  <c r="J231" i="25"/>
  <c r="J233" i="25"/>
  <c r="J235" i="25"/>
  <c r="J237" i="25"/>
  <c r="J239" i="25"/>
  <c r="J241" i="25"/>
  <c r="J243" i="25"/>
  <c r="J245" i="25"/>
  <c r="J247" i="25"/>
  <c r="J249" i="25"/>
  <c r="J251" i="25"/>
  <c r="J253" i="25"/>
  <c r="J255" i="25"/>
  <c r="J257" i="25"/>
  <c r="J259" i="25"/>
  <c r="J261" i="25"/>
  <c r="J263" i="25"/>
  <c r="J265" i="25"/>
  <c r="J267" i="25"/>
  <c r="J269" i="25"/>
  <c r="J271" i="25"/>
  <c r="J273" i="25"/>
  <c r="J275" i="25"/>
  <c r="J277" i="25"/>
  <c r="J279" i="25"/>
  <c r="J281" i="25"/>
  <c r="J283" i="25"/>
  <c r="J285" i="25"/>
  <c r="J287" i="25"/>
  <c r="J289" i="25"/>
  <c r="J291" i="25"/>
  <c r="J293" i="25"/>
  <c r="J295" i="25"/>
  <c r="J297" i="25"/>
  <c r="J299" i="25"/>
  <c r="J301" i="25"/>
  <c r="J303" i="25"/>
  <c r="J305" i="25"/>
  <c r="J307" i="25"/>
  <c r="J309" i="25"/>
  <c r="J311" i="25"/>
  <c r="J313" i="25"/>
  <c r="J315" i="25"/>
  <c r="J317" i="25"/>
  <c r="J319" i="25"/>
  <c r="J321" i="25"/>
  <c r="J323" i="25"/>
  <c r="J325" i="25"/>
  <c r="J327" i="25"/>
  <c r="J329" i="25"/>
  <c r="J331" i="25"/>
  <c r="J333" i="25"/>
  <c r="J335" i="25"/>
  <c r="J337" i="25"/>
  <c r="J131" i="25"/>
  <c r="J140" i="25"/>
  <c r="J149" i="25"/>
  <c r="J154" i="25"/>
  <c r="J156" i="25"/>
  <c r="J160" i="25"/>
  <c r="J164" i="25"/>
  <c r="J168" i="25"/>
  <c r="J172" i="25"/>
  <c r="J186" i="25"/>
  <c r="J188" i="25"/>
  <c r="J191" i="25"/>
  <c r="J193" i="25"/>
  <c r="J132" i="25"/>
  <c r="J141" i="25"/>
  <c r="J146" i="25"/>
  <c r="J179" i="25"/>
  <c r="J183" i="25"/>
  <c r="J194" i="25"/>
  <c r="J196" i="25"/>
  <c r="J198" i="25"/>
  <c r="J200" i="25"/>
  <c r="J202" i="25"/>
  <c r="J204" i="25"/>
  <c r="J206" i="25"/>
  <c r="J208" i="25"/>
  <c r="J210" i="25"/>
  <c r="J212" i="25"/>
  <c r="J214" i="25"/>
  <c r="J216" i="25"/>
  <c r="J218" i="25"/>
  <c r="J220" i="25"/>
  <c r="J222" i="25"/>
  <c r="J224" i="25"/>
  <c r="J226" i="25"/>
  <c r="J228" i="25"/>
  <c r="J230" i="25"/>
  <c r="J232" i="25"/>
  <c r="J234" i="25"/>
  <c r="J236" i="25"/>
  <c r="J238" i="25"/>
  <c r="J240" i="25"/>
  <c r="J242" i="25"/>
  <c r="J244" i="25"/>
  <c r="J246" i="25"/>
  <c r="J248" i="25"/>
  <c r="J250" i="25"/>
  <c r="J252" i="25"/>
  <c r="J254" i="25"/>
  <c r="J256" i="25"/>
  <c r="J258" i="25"/>
  <c r="J260" i="25"/>
  <c r="J262" i="25"/>
  <c r="J264" i="25"/>
  <c r="J266" i="25"/>
  <c r="J268" i="25"/>
  <c r="J270" i="25"/>
  <c r="J272" i="25"/>
  <c r="J274" i="25"/>
  <c r="J276" i="25"/>
  <c r="J278" i="25"/>
  <c r="J280" i="25"/>
  <c r="J282" i="25"/>
  <c r="J284" i="25"/>
  <c r="J286" i="25"/>
  <c r="J288" i="25"/>
  <c r="J290" i="25"/>
  <c r="J292" i="25"/>
  <c r="J294" i="25"/>
  <c r="J296" i="25"/>
  <c r="J298" i="25"/>
  <c r="J300" i="25"/>
  <c r="J302" i="25"/>
  <c r="J304" i="25"/>
  <c r="J306" i="25"/>
  <c r="J308" i="25"/>
  <c r="J310" i="25"/>
  <c r="J312" i="25"/>
  <c r="J314" i="25"/>
  <c r="J316" i="25"/>
  <c r="J318" i="25"/>
  <c r="J320" i="25"/>
  <c r="J322" i="25"/>
  <c r="J324" i="25"/>
  <c r="J326" i="25"/>
  <c r="J328" i="25"/>
  <c r="J330" i="25"/>
  <c r="J332" i="25"/>
  <c r="J334" i="25"/>
  <c r="J336" i="25"/>
  <c r="J128" i="25"/>
  <c r="J163" i="25"/>
  <c r="J173" i="25"/>
  <c r="J192" i="25"/>
  <c r="J123" i="25"/>
  <c r="J137" i="25"/>
  <c r="J159" i="25"/>
  <c r="J181" i="25"/>
  <c r="J189" i="25"/>
  <c r="J142" i="25"/>
  <c r="J155" i="25"/>
  <c r="J169" i="25"/>
  <c r="J187" i="25"/>
  <c r="J338" i="25"/>
  <c r="J340" i="25"/>
  <c r="J342" i="25"/>
  <c r="J344" i="25"/>
  <c r="J346" i="25"/>
  <c r="J348" i="25"/>
  <c r="J350" i="25"/>
  <c r="J352" i="25"/>
  <c r="J354" i="25"/>
  <c r="J356" i="25"/>
  <c r="J358" i="25"/>
  <c r="J360" i="25"/>
  <c r="J362" i="25"/>
  <c r="J364" i="25"/>
  <c r="J366" i="25"/>
  <c r="J368" i="25"/>
  <c r="J370" i="25"/>
  <c r="J372" i="25"/>
  <c r="J374" i="25"/>
  <c r="J376" i="25"/>
  <c r="J378" i="25"/>
  <c r="J380" i="25"/>
  <c r="J382" i="25"/>
  <c r="J384" i="25"/>
  <c r="J386" i="25"/>
  <c r="J388" i="25"/>
  <c r="J390" i="25"/>
  <c r="J392" i="25"/>
  <c r="J394" i="25"/>
  <c r="J396" i="25"/>
  <c r="J398" i="25"/>
  <c r="J400" i="25"/>
  <c r="J402" i="25"/>
  <c r="J404" i="25"/>
  <c r="J406" i="25"/>
  <c r="J408" i="25"/>
  <c r="J410" i="25"/>
  <c r="J412" i="25"/>
  <c r="J414" i="25"/>
  <c r="J416" i="25"/>
  <c r="J418" i="25"/>
  <c r="J420" i="25"/>
  <c r="J422" i="25"/>
  <c r="J424" i="25"/>
  <c r="J426" i="25"/>
  <c r="J428" i="25"/>
  <c r="J430" i="25"/>
  <c r="J432" i="25"/>
  <c r="J434" i="25"/>
  <c r="J436" i="25"/>
  <c r="J438" i="25"/>
  <c r="J440" i="25"/>
  <c r="J442" i="25"/>
  <c r="J444" i="25"/>
  <c r="J446" i="25"/>
  <c r="J448" i="25"/>
  <c r="J450" i="25"/>
  <c r="J452" i="25"/>
  <c r="J454" i="25"/>
  <c r="J456" i="25"/>
  <c r="J458" i="25"/>
  <c r="J460" i="25"/>
  <c r="J462" i="25"/>
  <c r="J464" i="25"/>
  <c r="J466" i="25"/>
  <c r="J468" i="25"/>
  <c r="J470" i="25"/>
  <c r="J472" i="25"/>
  <c r="J474" i="25"/>
  <c r="J476" i="25"/>
  <c r="J478" i="25"/>
  <c r="J480" i="25"/>
  <c r="J482" i="25"/>
  <c r="J484" i="25"/>
  <c r="J486" i="25"/>
  <c r="J488" i="25"/>
  <c r="J490" i="25"/>
  <c r="J492" i="25"/>
  <c r="J494" i="25"/>
  <c r="J496" i="25"/>
  <c r="J341" i="25"/>
  <c r="J349" i="25"/>
  <c r="J357" i="25"/>
  <c r="J365" i="25"/>
  <c r="J373" i="25"/>
  <c r="J381" i="25"/>
  <c r="J389" i="25"/>
  <c r="J397" i="25"/>
  <c r="J405" i="25"/>
  <c r="J413" i="25"/>
  <c r="J421" i="25"/>
  <c r="J429" i="25"/>
  <c r="J437" i="25"/>
  <c r="J445" i="25"/>
  <c r="J453" i="25"/>
  <c r="J461" i="25"/>
  <c r="J469" i="25"/>
  <c r="J477" i="25"/>
  <c r="J485" i="25"/>
  <c r="J493" i="25"/>
  <c r="J498" i="25"/>
  <c r="J500" i="25"/>
  <c r="J502" i="25"/>
  <c r="J504" i="25"/>
  <c r="J506" i="25"/>
  <c r="J508" i="25"/>
  <c r="J471" i="25"/>
  <c r="J177" i="25"/>
  <c r="J339" i="25"/>
  <c r="J347" i="25"/>
  <c r="J355" i="25"/>
  <c r="J363" i="25"/>
  <c r="J371" i="25"/>
  <c r="J379" i="25"/>
  <c r="J387" i="25"/>
  <c r="J395" i="25"/>
  <c r="J403" i="25"/>
  <c r="J411" i="25"/>
  <c r="J419" i="25"/>
  <c r="J427" i="25"/>
  <c r="J435" i="25"/>
  <c r="J443" i="25"/>
  <c r="J451" i="25"/>
  <c r="J459" i="25"/>
  <c r="J467" i="25"/>
  <c r="J475" i="25"/>
  <c r="J483" i="25"/>
  <c r="J491" i="25"/>
  <c r="J343" i="25"/>
  <c r="J367" i="25"/>
  <c r="J375" i="25"/>
  <c r="J391" i="25"/>
  <c r="J399" i="25"/>
  <c r="J407" i="25"/>
  <c r="J415" i="25"/>
  <c r="J423" i="25"/>
  <c r="J439" i="25"/>
  <c r="J447" i="25"/>
  <c r="J455" i="25"/>
  <c r="J463" i="25"/>
  <c r="J479" i="25"/>
  <c r="J487" i="25"/>
  <c r="J151" i="25"/>
  <c r="J345" i="25"/>
  <c r="J353" i="25"/>
  <c r="J361" i="25"/>
  <c r="J369" i="25"/>
  <c r="J377" i="25"/>
  <c r="J385" i="25"/>
  <c r="J393" i="25"/>
  <c r="J401" i="25"/>
  <c r="J409" i="25"/>
  <c r="J417" i="25"/>
  <c r="J425" i="25"/>
  <c r="J433" i="25"/>
  <c r="J441" i="25"/>
  <c r="J449" i="25"/>
  <c r="J457" i="25"/>
  <c r="J465" i="25"/>
  <c r="J473" i="25"/>
  <c r="J481" i="25"/>
  <c r="J489" i="25"/>
  <c r="J497" i="25"/>
  <c r="J499" i="25"/>
  <c r="J501" i="25"/>
  <c r="J503" i="25"/>
  <c r="J505" i="25"/>
  <c r="J507" i="25"/>
  <c r="J509" i="25"/>
  <c r="J165" i="25"/>
  <c r="J351" i="25"/>
  <c r="J359" i="25"/>
  <c r="J383" i="25"/>
  <c r="J431" i="25"/>
  <c r="J495" i="25"/>
  <c r="G121" i="25"/>
  <c r="G129" i="25"/>
  <c r="G137" i="25"/>
  <c r="G145" i="25"/>
  <c r="G153" i="25"/>
  <c r="G161" i="25"/>
  <c r="G169" i="25"/>
  <c r="G177" i="25"/>
  <c r="G185" i="25"/>
  <c r="G193" i="25"/>
  <c r="G201" i="25"/>
  <c r="G209" i="25"/>
  <c r="G217" i="25"/>
  <c r="G225" i="25"/>
  <c r="G233" i="25"/>
  <c r="G241" i="25"/>
  <c r="G249" i="25"/>
  <c r="G257" i="25"/>
  <c r="G265" i="25"/>
  <c r="G273" i="25"/>
  <c r="G281" i="25"/>
  <c r="G289" i="25"/>
  <c r="G297" i="25"/>
  <c r="G305" i="25"/>
  <c r="G313" i="25"/>
  <c r="G321" i="25"/>
  <c r="G329" i="25"/>
  <c r="G337" i="25"/>
  <c r="G345" i="25"/>
  <c r="G353" i="25"/>
  <c r="G361" i="25"/>
  <c r="G369" i="25"/>
  <c r="G377" i="25"/>
  <c r="G385" i="25"/>
  <c r="G393" i="25"/>
  <c r="G401" i="25"/>
  <c r="G409" i="25"/>
  <c r="G417" i="25"/>
  <c r="G425" i="25"/>
  <c r="G433" i="25"/>
  <c r="G441" i="25"/>
  <c r="G449" i="25"/>
  <c r="G457" i="25"/>
  <c r="G465" i="25"/>
  <c r="G473" i="25"/>
  <c r="G481" i="25"/>
  <c r="G489" i="25"/>
  <c r="G497" i="25"/>
  <c r="G505" i="25"/>
  <c r="G122" i="25"/>
  <c r="G130" i="25"/>
  <c r="G138" i="25"/>
  <c r="G146" i="25"/>
  <c r="G154" i="25"/>
  <c r="G162" i="25"/>
  <c r="G170" i="25"/>
  <c r="G178" i="25"/>
  <c r="G186" i="25"/>
  <c r="G194" i="25"/>
  <c r="G202" i="25"/>
  <c r="G210" i="25"/>
  <c r="G218" i="25"/>
  <c r="G226" i="25"/>
  <c r="G234" i="25"/>
  <c r="G242" i="25"/>
  <c r="G250" i="25"/>
  <c r="G258" i="25"/>
  <c r="G266" i="25"/>
  <c r="G274" i="25"/>
  <c r="G282" i="25"/>
  <c r="G290" i="25"/>
  <c r="G298" i="25"/>
  <c r="G306" i="25"/>
  <c r="G314" i="25"/>
  <c r="G322" i="25"/>
  <c r="G330" i="25"/>
  <c r="G338" i="25"/>
  <c r="G346" i="25"/>
  <c r="G354" i="25"/>
  <c r="G362" i="25"/>
  <c r="G370" i="25"/>
  <c r="G378" i="25"/>
  <c r="G386" i="25"/>
  <c r="G394" i="25"/>
  <c r="G402" i="25"/>
  <c r="G410" i="25"/>
  <c r="G418" i="25"/>
  <c r="G426" i="25"/>
  <c r="G434" i="25"/>
  <c r="G442" i="25"/>
  <c r="G450" i="25"/>
  <c r="G458" i="25"/>
  <c r="G466" i="25"/>
  <c r="G474" i="25"/>
  <c r="G482" i="25"/>
  <c r="G490" i="25"/>
  <c r="G498" i="25"/>
  <c r="G506" i="25"/>
  <c r="G123" i="25"/>
  <c r="G131" i="25"/>
  <c r="G139" i="25"/>
  <c r="G147" i="25"/>
  <c r="G155" i="25"/>
  <c r="G163" i="25"/>
  <c r="G171" i="25"/>
  <c r="G179" i="25"/>
  <c r="G187" i="25"/>
  <c r="G195" i="25"/>
  <c r="G203" i="25"/>
  <c r="G211" i="25"/>
  <c r="G219" i="25"/>
  <c r="G227" i="25"/>
  <c r="G235" i="25"/>
  <c r="G243" i="25"/>
  <c r="G251" i="25"/>
  <c r="G259" i="25"/>
  <c r="G267" i="25"/>
  <c r="G275" i="25"/>
  <c r="G283" i="25"/>
  <c r="G291" i="25"/>
  <c r="G299" i="25"/>
  <c r="G307" i="25"/>
  <c r="G315" i="25"/>
  <c r="G323" i="25"/>
  <c r="G331" i="25"/>
  <c r="G339" i="25"/>
  <c r="G347" i="25"/>
  <c r="G355" i="25"/>
  <c r="G363" i="25"/>
  <c r="G371" i="25"/>
  <c r="G379" i="25"/>
  <c r="G387" i="25"/>
  <c r="G395" i="25"/>
  <c r="G403" i="25"/>
  <c r="G411" i="25"/>
  <c r="G419" i="25"/>
  <c r="G427" i="25"/>
  <c r="G435" i="25"/>
  <c r="G443" i="25"/>
  <c r="G451" i="25"/>
  <c r="G459" i="25"/>
  <c r="G467" i="25"/>
  <c r="G475" i="25"/>
  <c r="G483" i="25"/>
  <c r="G491" i="25"/>
  <c r="G499" i="25"/>
  <c r="G507" i="25"/>
  <c r="G124" i="25"/>
  <c r="G132" i="25"/>
  <c r="G140" i="25"/>
  <c r="G148" i="25"/>
  <c r="G156" i="25"/>
  <c r="G164" i="25"/>
  <c r="G172" i="25"/>
  <c r="G180" i="25"/>
  <c r="G188" i="25"/>
  <c r="G196" i="25"/>
  <c r="G204" i="25"/>
  <c r="G212" i="25"/>
  <c r="G220" i="25"/>
  <c r="G228" i="25"/>
  <c r="G236" i="25"/>
  <c r="G244" i="25"/>
  <c r="G252" i="25"/>
  <c r="G260" i="25"/>
  <c r="G268" i="25"/>
  <c r="G276" i="25"/>
  <c r="G284" i="25"/>
  <c r="G292" i="25"/>
  <c r="G300" i="25"/>
  <c r="G308" i="25"/>
  <c r="G316" i="25"/>
  <c r="G324" i="25"/>
  <c r="G332" i="25"/>
  <c r="G340" i="25"/>
  <c r="G348" i="25"/>
  <c r="G356" i="25"/>
  <c r="G364" i="25"/>
  <c r="G372" i="25"/>
  <c r="G380" i="25"/>
  <c r="G388" i="25"/>
  <c r="G396" i="25"/>
  <c r="G404" i="25"/>
  <c r="G412" i="25"/>
  <c r="G420" i="25"/>
  <c r="G428" i="25"/>
  <c r="G436" i="25"/>
  <c r="G444" i="25"/>
  <c r="G452" i="25"/>
  <c r="G460" i="25"/>
  <c r="G468" i="25"/>
  <c r="G476" i="25"/>
  <c r="G484" i="25"/>
  <c r="G492" i="25"/>
  <c r="G500" i="25"/>
  <c r="G508" i="25"/>
  <c r="G125" i="25"/>
  <c r="G133" i="25"/>
  <c r="G141" i="25"/>
  <c r="G149" i="25"/>
  <c r="G157" i="25"/>
  <c r="G165" i="25"/>
  <c r="G173" i="25"/>
  <c r="G181" i="25"/>
  <c r="G189" i="25"/>
  <c r="G197" i="25"/>
  <c r="G205" i="25"/>
  <c r="G213" i="25"/>
  <c r="G221" i="25"/>
  <c r="G229" i="25"/>
  <c r="G237" i="25"/>
  <c r="G245" i="25"/>
  <c r="G253" i="25"/>
  <c r="G261" i="25"/>
  <c r="G269" i="25"/>
  <c r="G277" i="25"/>
  <c r="G285" i="25"/>
  <c r="G293" i="25"/>
  <c r="G301" i="25"/>
  <c r="G309" i="25"/>
  <c r="G317" i="25"/>
  <c r="G325" i="25"/>
  <c r="G333" i="25"/>
  <c r="G341" i="25"/>
  <c r="G349" i="25"/>
  <c r="G357" i="25"/>
  <c r="G365" i="25"/>
  <c r="G373" i="25"/>
  <c r="G381" i="25"/>
  <c r="G389" i="25"/>
  <c r="G397" i="25"/>
  <c r="G405" i="25"/>
  <c r="G413" i="25"/>
  <c r="G421" i="25"/>
  <c r="G429" i="25"/>
  <c r="G437" i="25"/>
  <c r="G445" i="25"/>
  <c r="G453" i="25"/>
  <c r="G461" i="25"/>
  <c r="G469" i="25"/>
  <c r="G477" i="25"/>
  <c r="G485" i="25"/>
  <c r="G493" i="25"/>
  <c r="G501" i="25"/>
  <c r="G509" i="25"/>
  <c r="G126" i="25"/>
  <c r="G134" i="25"/>
  <c r="G142" i="25"/>
  <c r="G150" i="25"/>
  <c r="G158" i="25"/>
  <c r="G166" i="25"/>
  <c r="G174" i="25"/>
  <c r="G182" i="25"/>
  <c r="G190" i="25"/>
  <c r="G198" i="25"/>
  <c r="G206" i="25"/>
  <c r="G214" i="25"/>
  <c r="G222" i="25"/>
  <c r="G230" i="25"/>
  <c r="G238" i="25"/>
  <c r="G246" i="25"/>
  <c r="G254" i="25"/>
  <c r="G262" i="25"/>
  <c r="G270" i="25"/>
  <c r="G278" i="25"/>
  <c r="G286" i="25"/>
  <c r="G294" i="25"/>
  <c r="G302" i="25"/>
  <c r="G310" i="25"/>
  <c r="G318" i="25"/>
  <c r="G326" i="25"/>
  <c r="G334" i="25"/>
  <c r="G342" i="25"/>
  <c r="G350" i="25"/>
  <c r="G358" i="25"/>
  <c r="G366" i="25"/>
  <c r="G374" i="25"/>
  <c r="G382" i="25"/>
  <c r="G390" i="25"/>
  <c r="G398" i="25"/>
  <c r="G406" i="25"/>
  <c r="G414" i="25"/>
  <c r="G422" i="25"/>
  <c r="G430" i="25"/>
  <c r="G438" i="25"/>
  <c r="G446" i="25"/>
  <c r="G454" i="25"/>
  <c r="G462" i="25"/>
  <c r="G470" i="25"/>
  <c r="G478" i="25"/>
  <c r="G486" i="25"/>
  <c r="G494" i="25"/>
  <c r="G502" i="25"/>
  <c r="G120" i="25"/>
  <c r="G127" i="25"/>
  <c r="G135" i="25"/>
  <c r="G143" i="25"/>
  <c r="G151" i="25"/>
  <c r="G159" i="25"/>
  <c r="G167" i="25"/>
  <c r="G175" i="25"/>
  <c r="G183" i="25"/>
  <c r="G191" i="25"/>
  <c r="G199" i="25"/>
  <c r="G207" i="25"/>
  <c r="G215" i="25"/>
  <c r="G223" i="25"/>
  <c r="G231" i="25"/>
  <c r="G239" i="25"/>
  <c r="G247" i="25"/>
  <c r="G255" i="25"/>
  <c r="G263" i="25"/>
  <c r="G271" i="25"/>
  <c r="G279" i="25"/>
  <c r="G287" i="25"/>
  <c r="G295" i="25"/>
  <c r="G303" i="25"/>
  <c r="G311" i="25"/>
  <c r="G319" i="25"/>
  <c r="G327" i="25"/>
  <c r="G335" i="25"/>
  <c r="G343" i="25"/>
  <c r="G351" i="25"/>
  <c r="G359" i="25"/>
  <c r="G367" i="25"/>
  <c r="G375" i="25"/>
  <c r="G383" i="25"/>
  <c r="G391" i="25"/>
  <c r="G399" i="25"/>
  <c r="G407" i="25"/>
  <c r="G415" i="25"/>
  <c r="G423" i="25"/>
  <c r="G431" i="25"/>
  <c r="G439" i="25"/>
  <c r="G447" i="25"/>
  <c r="G455" i="25"/>
  <c r="G463" i="25"/>
  <c r="G471" i="25"/>
  <c r="G479" i="25"/>
  <c r="G487" i="25"/>
  <c r="G495" i="25"/>
  <c r="G503" i="25"/>
  <c r="G128" i="25"/>
  <c r="G136" i="25"/>
  <c r="G144" i="25"/>
  <c r="G152" i="25"/>
  <c r="G160" i="25"/>
  <c r="G168" i="25"/>
  <c r="G176" i="25"/>
  <c r="G184" i="25"/>
  <c r="G192" i="25"/>
  <c r="G200" i="25"/>
  <c r="G208" i="25"/>
  <c r="G216" i="25"/>
  <c r="G224" i="25"/>
  <c r="G232" i="25"/>
  <c r="G240" i="25"/>
  <c r="G248" i="25"/>
  <c r="G256" i="25"/>
  <c r="G264" i="25"/>
  <c r="G272" i="25"/>
  <c r="G280" i="25"/>
  <c r="G288" i="25"/>
  <c r="G296" i="25"/>
  <c r="G304" i="25"/>
  <c r="G312" i="25"/>
  <c r="G320" i="25"/>
  <c r="G328" i="25"/>
  <c r="G336" i="25"/>
  <c r="G344" i="25"/>
  <c r="G352" i="25"/>
  <c r="G360" i="25"/>
  <c r="G368" i="25"/>
  <c r="G376" i="25"/>
  <c r="G384" i="25"/>
  <c r="G392" i="25"/>
  <c r="G400" i="25"/>
  <c r="G408" i="25"/>
  <c r="G416" i="25"/>
  <c r="G424" i="25"/>
  <c r="G432" i="25"/>
  <c r="G440" i="25"/>
  <c r="G448" i="25"/>
  <c r="G456" i="25"/>
  <c r="G464" i="25"/>
  <c r="G472" i="25"/>
  <c r="G480" i="25"/>
  <c r="G488" i="25"/>
  <c r="G496" i="25"/>
  <c r="G504" i="25"/>
  <c r="AX7" i="17"/>
  <c r="AN2" i="17" s="1"/>
  <c r="G61" i="1"/>
  <c r="I7" i="26"/>
  <c r="H122" i="25"/>
  <c r="H126" i="25"/>
  <c r="H130" i="25"/>
  <c r="H134" i="25"/>
  <c r="H138" i="25"/>
  <c r="H142" i="25"/>
  <c r="H146" i="25"/>
  <c r="H150" i="25"/>
  <c r="H154" i="25"/>
  <c r="H158" i="25"/>
  <c r="H162" i="25"/>
  <c r="H166" i="25"/>
  <c r="H170" i="25"/>
  <c r="H174" i="25"/>
  <c r="H178" i="25"/>
  <c r="H182" i="25"/>
  <c r="H186" i="25"/>
  <c r="H190" i="25"/>
  <c r="H194" i="25"/>
  <c r="H198" i="25"/>
  <c r="H202" i="25"/>
  <c r="H206" i="25"/>
  <c r="H210" i="25"/>
  <c r="H214" i="25"/>
  <c r="H218" i="25"/>
  <c r="H222" i="25"/>
  <c r="H226" i="25"/>
  <c r="H230" i="25"/>
  <c r="H234" i="25"/>
  <c r="H238" i="25"/>
  <c r="H242" i="25"/>
  <c r="H246" i="25"/>
  <c r="H250" i="25"/>
  <c r="H254" i="25"/>
  <c r="H258" i="25"/>
  <c r="H262" i="25"/>
  <c r="H266" i="25"/>
  <c r="H270" i="25"/>
  <c r="H274" i="25"/>
  <c r="H121" i="25"/>
  <c r="H125" i="25"/>
  <c r="H129" i="25"/>
  <c r="H133" i="25"/>
  <c r="H137" i="25"/>
  <c r="H141" i="25"/>
  <c r="H145" i="25"/>
  <c r="H149" i="25"/>
  <c r="H153" i="25"/>
  <c r="H157" i="25"/>
  <c r="H161" i="25"/>
  <c r="H165" i="25"/>
  <c r="H169" i="25"/>
  <c r="H173" i="25"/>
  <c r="H177" i="25"/>
  <c r="H181" i="25"/>
  <c r="H185" i="25"/>
  <c r="H189" i="25"/>
  <c r="H193" i="25"/>
  <c r="H197" i="25"/>
  <c r="H201" i="25"/>
  <c r="H205" i="25"/>
  <c r="H209" i="25"/>
  <c r="H213" i="25"/>
  <c r="H217" i="25"/>
  <c r="H221" i="25"/>
  <c r="H225" i="25"/>
  <c r="H229" i="25"/>
  <c r="H233" i="25"/>
  <c r="H237" i="25"/>
  <c r="H241" i="25"/>
  <c r="H245" i="25"/>
  <c r="H249" i="25"/>
  <c r="H253" i="25"/>
  <c r="H257" i="25"/>
  <c r="H261" i="25"/>
  <c r="H265" i="25"/>
  <c r="H269" i="25"/>
  <c r="H273" i="25"/>
  <c r="H277" i="25"/>
  <c r="H281" i="25"/>
  <c r="H285" i="25"/>
  <c r="H289" i="25"/>
  <c r="H293" i="25"/>
  <c r="H297" i="25"/>
  <c r="H301" i="25"/>
  <c r="H305" i="25"/>
  <c r="H309" i="25"/>
  <c r="H313" i="25"/>
  <c r="H317" i="25"/>
  <c r="H321" i="25"/>
  <c r="H325" i="25"/>
  <c r="H329" i="25"/>
  <c r="H333" i="25"/>
  <c r="H337" i="25"/>
  <c r="H341" i="25"/>
  <c r="H124" i="25"/>
  <c r="H135" i="25"/>
  <c r="H140" i="25"/>
  <c r="H151" i="25"/>
  <c r="H156" i="25"/>
  <c r="H167" i="25"/>
  <c r="H172" i="25"/>
  <c r="H183" i="25"/>
  <c r="H188" i="25"/>
  <c r="H200" i="25"/>
  <c r="H208" i="25"/>
  <c r="H216" i="25"/>
  <c r="H224" i="25"/>
  <c r="H232" i="25"/>
  <c r="H240" i="25"/>
  <c r="H248" i="25"/>
  <c r="H256" i="25"/>
  <c r="H264" i="25"/>
  <c r="H272" i="25"/>
  <c r="H284" i="25"/>
  <c r="H287" i="25"/>
  <c r="H290" i="25"/>
  <c r="H300" i="25"/>
  <c r="H303" i="25"/>
  <c r="H306" i="25"/>
  <c r="H316" i="25"/>
  <c r="H319" i="25"/>
  <c r="H322" i="25"/>
  <c r="H332" i="25"/>
  <c r="H335" i="25"/>
  <c r="H338" i="25"/>
  <c r="H345" i="25"/>
  <c r="H349" i="25"/>
  <c r="H353" i="25"/>
  <c r="H357" i="25"/>
  <c r="H361" i="25"/>
  <c r="H365" i="25"/>
  <c r="H369" i="25"/>
  <c r="H373" i="25"/>
  <c r="H377" i="25"/>
  <c r="H381" i="25"/>
  <c r="H385" i="25"/>
  <c r="H389" i="25"/>
  <c r="H393" i="25"/>
  <c r="H397" i="25"/>
  <c r="H401" i="25"/>
  <c r="H405" i="25"/>
  <c r="H409" i="25"/>
  <c r="H413" i="25"/>
  <c r="H417" i="25"/>
  <c r="H421" i="25"/>
  <c r="H425" i="25"/>
  <c r="H429" i="25"/>
  <c r="H433" i="25"/>
  <c r="H437" i="25"/>
  <c r="H441" i="25"/>
  <c r="H445" i="25"/>
  <c r="H449" i="25"/>
  <c r="H453" i="25"/>
  <c r="H457" i="25"/>
  <c r="H461" i="25"/>
  <c r="H465" i="25"/>
  <c r="H469" i="25"/>
  <c r="H473" i="25"/>
  <c r="H477" i="25"/>
  <c r="H481" i="25"/>
  <c r="H485" i="25"/>
  <c r="H489" i="25"/>
  <c r="H493" i="25"/>
  <c r="H497" i="25"/>
  <c r="H501" i="25"/>
  <c r="H505" i="25"/>
  <c r="H509" i="25"/>
  <c r="H123" i="25"/>
  <c r="H128" i="25"/>
  <c r="H139" i="25"/>
  <c r="H144" i="25"/>
  <c r="H155" i="25"/>
  <c r="H160" i="25"/>
  <c r="H171" i="25"/>
  <c r="H127" i="25"/>
  <c r="H132" i="25"/>
  <c r="H143" i="25"/>
  <c r="H148" i="25"/>
  <c r="H159" i="25"/>
  <c r="H164" i="25"/>
  <c r="H175" i="25"/>
  <c r="H180" i="25"/>
  <c r="H191" i="25"/>
  <c r="H196" i="25"/>
  <c r="H204" i="25"/>
  <c r="H212" i="25"/>
  <c r="H220" i="25"/>
  <c r="H228" i="25"/>
  <c r="H236" i="25"/>
  <c r="H244" i="25"/>
  <c r="H252" i="25"/>
  <c r="H260" i="25"/>
  <c r="H268" i="25"/>
  <c r="H276" i="25"/>
  <c r="H279" i="25"/>
  <c r="H282" i="25"/>
  <c r="H292" i="25"/>
  <c r="H295" i="25"/>
  <c r="H298" i="25"/>
  <c r="H308" i="25"/>
  <c r="H311" i="25"/>
  <c r="H314" i="25"/>
  <c r="H324" i="25"/>
  <c r="H327" i="25"/>
  <c r="H330" i="25"/>
  <c r="H340" i="25"/>
  <c r="H343" i="25"/>
  <c r="H347" i="25"/>
  <c r="H351" i="25"/>
  <c r="H355" i="25"/>
  <c r="H359" i="25"/>
  <c r="H363" i="25"/>
  <c r="H367" i="25"/>
  <c r="H371" i="25"/>
  <c r="H375" i="25"/>
  <c r="H379" i="25"/>
  <c r="H383" i="25"/>
  <c r="H387" i="25"/>
  <c r="H391" i="25"/>
  <c r="H395" i="25"/>
  <c r="H399" i="25"/>
  <c r="H403" i="25"/>
  <c r="H407" i="25"/>
  <c r="H411" i="25"/>
  <c r="H415" i="25"/>
  <c r="H419" i="25"/>
  <c r="H423" i="25"/>
  <c r="H427" i="25"/>
  <c r="H431" i="25"/>
  <c r="H435" i="25"/>
  <c r="H439" i="25"/>
  <c r="H443" i="25"/>
  <c r="H447" i="25"/>
  <c r="H451" i="25"/>
  <c r="H455" i="25"/>
  <c r="H459" i="25"/>
  <c r="H463" i="25"/>
  <c r="H467" i="25"/>
  <c r="H471" i="25"/>
  <c r="H475" i="25"/>
  <c r="H479" i="25"/>
  <c r="H483" i="25"/>
  <c r="H487" i="25"/>
  <c r="H491" i="25"/>
  <c r="H495" i="25"/>
  <c r="H499" i="25"/>
  <c r="H503" i="25"/>
  <c r="H507" i="25"/>
  <c r="H120" i="25"/>
  <c r="H131" i="25"/>
  <c r="H136" i="25"/>
  <c r="H147" i="25"/>
  <c r="H176" i="25"/>
  <c r="H184" i="25"/>
  <c r="H192" i="25"/>
  <c r="H203" i="25"/>
  <c r="H219" i="25"/>
  <c r="H235" i="25"/>
  <c r="H251" i="25"/>
  <c r="H267" i="25"/>
  <c r="H286" i="25"/>
  <c r="H291" i="25"/>
  <c r="H296" i="25"/>
  <c r="H318" i="25"/>
  <c r="H323" i="25"/>
  <c r="H328" i="25"/>
  <c r="H348" i="25"/>
  <c r="H356" i="25"/>
  <c r="H364" i="25"/>
  <c r="H372" i="25"/>
  <c r="H380" i="25"/>
  <c r="H388" i="25"/>
  <c r="H396" i="25"/>
  <c r="H404" i="25"/>
  <c r="H412" i="25"/>
  <c r="H420" i="25"/>
  <c r="H428" i="25"/>
  <c r="H436" i="25"/>
  <c r="H444" i="25"/>
  <c r="H452" i="25"/>
  <c r="H460" i="25"/>
  <c r="H468" i="25"/>
  <c r="H476" i="25"/>
  <c r="H484" i="25"/>
  <c r="H492" i="25"/>
  <c r="H500" i="25"/>
  <c r="H508" i="25"/>
  <c r="H464" i="25"/>
  <c r="H488" i="25"/>
  <c r="H496" i="25"/>
  <c r="H215" i="25"/>
  <c r="H231" i="25"/>
  <c r="H247" i="25"/>
  <c r="H294" i="25"/>
  <c r="H304" i="25"/>
  <c r="H326" i="25"/>
  <c r="H331" i="25"/>
  <c r="H394" i="25"/>
  <c r="H418" i="25"/>
  <c r="H434" i="25"/>
  <c r="H442" i="25"/>
  <c r="H466" i="25"/>
  <c r="H490" i="25"/>
  <c r="H506" i="25"/>
  <c r="H168" i="25"/>
  <c r="H207" i="25"/>
  <c r="H223" i="25"/>
  <c r="H239" i="25"/>
  <c r="H255" i="25"/>
  <c r="H271" i="25"/>
  <c r="H278" i="25"/>
  <c r="H283" i="25"/>
  <c r="H288" i="25"/>
  <c r="H310" i="25"/>
  <c r="H315" i="25"/>
  <c r="H320" i="25"/>
  <c r="H342" i="25"/>
  <c r="H350" i="25"/>
  <c r="H358" i="25"/>
  <c r="H366" i="25"/>
  <c r="H374" i="25"/>
  <c r="H382" i="25"/>
  <c r="H390" i="25"/>
  <c r="H398" i="25"/>
  <c r="H406" i="25"/>
  <c r="H414" i="25"/>
  <c r="H422" i="25"/>
  <c r="H430" i="25"/>
  <c r="H438" i="25"/>
  <c r="H446" i="25"/>
  <c r="H454" i="25"/>
  <c r="H462" i="25"/>
  <c r="H470" i="25"/>
  <c r="H478" i="25"/>
  <c r="H486" i="25"/>
  <c r="H494" i="25"/>
  <c r="H502" i="25"/>
  <c r="H179" i="25"/>
  <c r="H187" i="25"/>
  <c r="H195" i="25"/>
  <c r="H211" i="25"/>
  <c r="H227" i="25"/>
  <c r="H243" i="25"/>
  <c r="H259" i="25"/>
  <c r="H275" i="25"/>
  <c r="H280" i="25"/>
  <c r="H302" i="25"/>
  <c r="H307" i="25"/>
  <c r="H312" i="25"/>
  <c r="H334" i="25"/>
  <c r="H339" i="25"/>
  <c r="H344" i="25"/>
  <c r="H352" i="25"/>
  <c r="H360" i="25"/>
  <c r="H368" i="25"/>
  <c r="H376" i="25"/>
  <c r="H384" i="25"/>
  <c r="H392" i="25"/>
  <c r="H400" i="25"/>
  <c r="H408" i="25"/>
  <c r="H416" i="25"/>
  <c r="H424" i="25"/>
  <c r="H432" i="25"/>
  <c r="H440" i="25"/>
  <c r="H448" i="25"/>
  <c r="H456" i="25"/>
  <c r="H472" i="25"/>
  <c r="H480" i="25"/>
  <c r="H504" i="25"/>
  <c r="H152" i="25"/>
  <c r="H163" i="25"/>
  <c r="H199" i="25"/>
  <c r="H263" i="25"/>
  <c r="H299" i="25"/>
  <c r="H336" i="25"/>
  <c r="H346" i="25"/>
  <c r="H354" i="25"/>
  <c r="H362" i="25"/>
  <c r="H370" i="25"/>
  <c r="H378" i="25"/>
  <c r="H386" i="25"/>
  <c r="H402" i="25"/>
  <c r="H410" i="25"/>
  <c r="H426" i="25"/>
  <c r="H450" i="25"/>
  <c r="H458" i="25"/>
  <c r="H474" i="25"/>
  <c r="H482" i="25"/>
  <c r="H498" i="25"/>
  <c r="A103" i="19"/>
  <c r="G45" i="1"/>
  <c r="D19" i="9"/>
  <c r="H73" i="10"/>
  <c r="AM7" i="17"/>
  <c r="D18" i="9"/>
  <c r="H23" i="10"/>
  <c r="G8" i="10"/>
  <c r="G94" i="10" s="1"/>
  <c r="D52" i="9"/>
  <c r="H59" i="10"/>
  <c r="D40" i="9"/>
  <c r="J3" i="11"/>
  <c r="J4" i="11" s="1"/>
  <c r="D36" i="9"/>
  <c r="D16" i="9"/>
  <c r="D8" i="9"/>
  <c r="D48" i="9"/>
  <c r="D29" i="9"/>
  <c r="H97" i="10"/>
  <c r="H35" i="10"/>
  <c r="H85" i="10"/>
  <c r="H109" i="10"/>
  <c r="D31" i="9"/>
  <c r="D26" i="9"/>
  <c r="D17" i="9"/>
  <c r="D13" i="9"/>
  <c r="D53" i="9"/>
  <c r="D28" i="9"/>
  <c r="D5" i="9"/>
  <c r="D12" i="9"/>
  <c r="D9" i="9"/>
  <c r="D47" i="9"/>
  <c r="D46" i="9"/>
  <c r="D38" i="9"/>
  <c r="D39" i="9"/>
  <c r="D51" i="9"/>
  <c r="D20" i="9"/>
  <c r="D50" i="9"/>
  <c r="D32" i="9"/>
  <c r="D7" i="9"/>
  <c r="D21" i="9"/>
  <c r="D33" i="9"/>
  <c r="D35" i="9"/>
  <c r="D45" i="9"/>
  <c r="D15" i="9"/>
  <c r="D22" i="9"/>
  <c r="D37" i="9"/>
  <c r="D6" i="9"/>
  <c r="D34" i="9"/>
  <c r="D44" i="9"/>
  <c r="D4" i="9"/>
  <c r="D3" i="9"/>
  <c r="L4" i="9" s="1"/>
  <c r="D11" i="9"/>
  <c r="D43" i="9"/>
  <c r="D10" i="9"/>
  <c r="D25" i="9"/>
  <c r="D49" i="9"/>
  <c r="D27" i="9"/>
  <c r="D14" i="9"/>
  <c r="D42" i="9"/>
  <c r="D23" i="9"/>
  <c r="D41" i="9"/>
  <c r="D30" i="9"/>
  <c r="AE2" i="17" l="1"/>
  <c r="J3" i="26"/>
  <c r="J2" i="26"/>
  <c r="E56" i="10"/>
  <c r="A124" i="19"/>
  <c r="A126" i="19"/>
  <c r="A115" i="19"/>
  <c r="A125" i="19"/>
  <c r="A108" i="19"/>
  <c r="A118" i="19"/>
  <c r="A120" i="19"/>
  <c r="A107" i="19"/>
  <c r="A123" i="19"/>
  <c r="A112" i="19"/>
  <c r="A106" i="19"/>
  <c r="A110" i="19"/>
  <c r="A119" i="19"/>
  <c r="A109" i="19"/>
  <c r="A116" i="19"/>
  <c r="A113" i="19"/>
  <c r="A117" i="19"/>
  <c r="A121" i="19"/>
  <c r="G45" i="10"/>
  <c r="E70" i="10"/>
  <c r="F70" i="10" s="1"/>
  <c r="AF23" i="1"/>
  <c r="G44" i="10"/>
  <c r="G11" i="10"/>
  <c r="G23" i="10" s="1"/>
  <c r="A104" i="19"/>
  <c r="A122" i="19"/>
  <c r="A105" i="19"/>
  <c r="A111" i="19"/>
  <c r="A114" i="19"/>
  <c r="G9" i="10"/>
  <c r="G32" i="10"/>
  <c r="G58" i="10"/>
  <c r="G106" i="10"/>
  <c r="G84" i="10"/>
  <c r="G57" i="10"/>
  <c r="G71" i="10"/>
  <c r="G22" i="10"/>
  <c r="G83" i="10"/>
  <c r="G70" i="10"/>
  <c r="G107" i="10"/>
  <c r="G46" i="10"/>
  <c r="G21" i="10"/>
  <c r="G72" i="10"/>
  <c r="G95" i="10"/>
  <c r="G82" i="10"/>
  <c r="G96" i="10"/>
  <c r="G108" i="10"/>
  <c r="G33" i="10"/>
  <c r="G20" i="10"/>
  <c r="G10" i="10"/>
  <c r="G56" i="10"/>
  <c r="G34" i="10"/>
  <c r="I3" i="9"/>
  <c r="I37" i="9"/>
  <c r="J37" i="9" s="1"/>
  <c r="I48" i="9"/>
  <c r="J48" i="9" s="1"/>
  <c r="I38" i="9"/>
  <c r="J38" i="9" s="1"/>
  <c r="I32" i="9"/>
  <c r="J32" i="9" s="1"/>
  <c r="I29" i="9"/>
  <c r="J29" i="9" s="1"/>
  <c r="I8" i="9"/>
  <c r="J8" i="9" s="1"/>
  <c r="I19" i="9"/>
  <c r="J19" i="9" s="1"/>
  <c r="I15" i="9"/>
  <c r="J15" i="9" s="1"/>
  <c r="I26" i="9"/>
  <c r="J26" i="9" s="1"/>
  <c r="I13" i="9"/>
  <c r="J13" i="9" s="1"/>
  <c r="I36" i="9"/>
  <c r="J36" i="9" s="1"/>
  <c r="I14" i="9"/>
  <c r="J14" i="9" s="1"/>
  <c r="I11" i="9"/>
  <c r="J11" i="9" s="1"/>
  <c r="I4" i="9"/>
  <c r="J4" i="9" s="1"/>
  <c r="I53" i="9"/>
  <c r="J53" i="9" s="1"/>
  <c r="I47" i="9"/>
  <c r="J47" i="9" s="1"/>
  <c r="I42" i="9"/>
  <c r="J42" i="9" s="1"/>
  <c r="I30" i="9"/>
  <c r="J30" i="9" s="1"/>
  <c r="I52" i="9"/>
  <c r="J52" i="9" s="1"/>
  <c r="I33" i="9"/>
  <c r="J33" i="9" s="1"/>
  <c r="I5" i="9"/>
  <c r="J5" i="9" s="1"/>
  <c r="I46" i="9"/>
  <c r="J46" i="9" s="1"/>
  <c r="I41" i="9"/>
  <c r="J41" i="9" s="1"/>
  <c r="I50" i="9"/>
  <c r="J50" i="9" s="1"/>
  <c r="I17" i="9"/>
  <c r="J17" i="9" s="1"/>
  <c r="I39" i="9"/>
  <c r="J39" i="9" s="1"/>
  <c r="I9" i="9"/>
  <c r="J9" i="9" s="1"/>
  <c r="I45" i="9"/>
  <c r="J45" i="9" s="1"/>
  <c r="I23" i="9"/>
  <c r="J23" i="9" s="1"/>
  <c r="I21" i="9"/>
  <c r="J21" i="9" s="1"/>
  <c r="I40" i="9"/>
  <c r="J40" i="9" s="1"/>
  <c r="I34" i="9"/>
  <c r="J34" i="9" s="1"/>
  <c r="I44" i="9"/>
  <c r="J44" i="9" s="1"/>
  <c r="I22" i="9"/>
  <c r="J22" i="9" s="1"/>
  <c r="I49" i="9"/>
  <c r="J49" i="9" s="1"/>
  <c r="I6" i="9"/>
  <c r="J6" i="9" s="1"/>
  <c r="I18" i="9"/>
  <c r="J18" i="9" s="1"/>
  <c r="I28" i="9"/>
  <c r="J28" i="9" s="1"/>
  <c r="I12" i="9"/>
  <c r="J12" i="9" s="1"/>
  <c r="I24" i="9"/>
  <c r="J24" i="9" s="1"/>
  <c r="I20" i="9"/>
  <c r="J20" i="9" s="1"/>
  <c r="I43" i="9"/>
  <c r="J43" i="9" s="1"/>
  <c r="I51" i="9"/>
  <c r="J51" i="9" s="1"/>
  <c r="I25" i="9"/>
  <c r="J25" i="9" s="1"/>
  <c r="I7" i="9"/>
  <c r="J7" i="9" s="1"/>
  <c r="I35" i="9"/>
  <c r="J35" i="9" s="1"/>
  <c r="I31" i="9"/>
  <c r="J31" i="9" s="1"/>
  <c r="I16" i="9"/>
  <c r="J16" i="9" s="1"/>
  <c r="I27" i="9"/>
  <c r="J27" i="9" s="1"/>
  <c r="I10" i="9"/>
  <c r="J10" i="9" s="1"/>
  <c r="G73" i="10" l="1"/>
  <c r="G35" i="10"/>
  <c r="G85" i="10"/>
  <c r="G47" i="10"/>
  <c r="G97" i="10"/>
  <c r="G109" i="10"/>
  <c r="G59" i="10"/>
  <c r="J3" i="9"/>
  <c r="J54" i="9" s="1"/>
  <c r="I54" i="9"/>
  <c r="D136" i="1" l="1"/>
  <c r="H137" i="1" s="1"/>
  <c r="AE10" i="1"/>
  <c r="K54" i="9"/>
  <c r="L5" i="9" s="1"/>
  <c r="G29" i="1" l="1"/>
  <c r="G64" i="1"/>
  <c r="D12" i="1"/>
  <c r="C28" i="6"/>
  <c r="C30" i="6"/>
  <c r="C32" i="6"/>
  <c r="C34" i="6"/>
  <c r="C36" i="6"/>
  <c r="C38" i="6"/>
  <c r="C29" i="6"/>
  <c r="C31" i="6"/>
  <c r="C33" i="6"/>
  <c r="C35" i="6"/>
  <c r="C37" i="6"/>
  <c r="C27" i="6"/>
  <c r="AF24" i="1"/>
  <c r="F37" i="6" l="1"/>
  <c r="F29" i="6"/>
  <c r="F32" i="6"/>
  <c r="F35" i="6"/>
  <c r="F38" i="6"/>
  <c r="F30" i="6"/>
  <c r="F33" i="6"/>
  <c r="F36" i="6"/>
  <c r="F28" i="6"/>
  <c r="F27" i="6"/>
  <c r="F31" i="6"/>
  <c r="F34" i="6"/>
  <c r="AN199" i="17" l="1"/>
  <c r="AF20" i="1" l="1"/>
  <c r="D12" i="6"/>
  <c r="D8" i="6" l="1"/>
  <c r="D14" i="6"/>
  <c r="D15" i="6"/>
  <c r="D6" i="6"/>
  <c r="D13" i="6"/>
  <c r="D11" i="6"/>
  <c r="D9" i="6"/>
  <c r="G63" i="1"/>
  <c r="D10" i="6"/>
  <c r="D16" i="6"/>
  <c r="I29" i="1"/>
  <c r="C125" i="1" s="1"/>
  <c r="I64" i="1" s="1"/>
  <c r="D7" i="6"/>
  <c r="D5" i="6"/>
  <c r="AF25" i="1"/>
  <c r="Q64" i="1" l="1"/>
  <c r="I35" i="1"/>
  <c r="Q35" i="1" s="1"/>
  <c r="I56" i="1"/>
  <c r="I47" i="1"/>
  <c r="Q47" i="1" s="1"/>
  <c r="I46" i="1"/>
  <c r="Q46" i="1" s="1"/>
  <c r="I45" i="1"/>
  <c r="Q45" i="1" s="1"/>
  <c r="I31" i="1"/>
  <c r="I57" i="1"/>
  <c r="I48" i="1"/>
  <c r="Q48" i="1" s="1"/>
  <c r="I63" i="1"/>
  <c r="AG21" i="1"/>
  <c r="AG24" i="1"/>
  <c r="AG23" i="1"/>
  <c r="AG22" i="1"/>
  <c r="AG20" i="1"/>
  <c r="Q31" i="1" l="1"/>
  <c r="AF38" i="1"/>
  <c r="Q44" i="1"/>
  <c r="AF39" i="1"/>
  <c r="AH39" i="1" s="1"/>
  <c r="AJ39" i="1" s="1"/>
  <c r="I58" i="1"/>
  <c r="I61" i="1" s="1"/>
  <c r="AF40" i="1" l="1"/>
  <c r="AH38" i="1"/>
  <c r="AH40" i="1" l="1"/>
  <c r="AJ40" i="1" s="1"/>
  <c r="AF43" i="1"/>
  <c r="AF41" i="1"/>
  <c r="AF42" i="1" s="1"/>
  <c r="AJ38" i="1"/>
  <c r="AJ41" i="1" l="1"/>
  <c r="AH41" i="1"/>
  <c r="M23" i="1"/>
  <c r="C2" i="25"/>
  <c r="Q29" i="1"/>
  <c r="Q33" i="1" s="1"/>
  <c r="D4" i="6" s="1"/>
  <c r="M20" i="1"/>
  <c r="Q17" i="1" l="1"/>
  <c r="C3" i="25"/>
  <c r="C5" i="25"/>
  <c r="C4" i="25"/>
  <c r="M21" i="1"/>
  <c r="Q21" i="1" s="1"/>
  <c r="G79" i="1" s="1"/>
  <c r="G80" i="1" s="1"/>
  <c r="AF11" i="1"/>
  <c r="AM1" i="1"/>
  <c r="AO1" i="1" s="1"/>
  <c r="G82" i="1"/>
  <c r="G83" i="1"/>
  <c r="D17" i="6"/>
  <c r="E4" i="6"/>
  <c r="M18" i="1"/>
  <c r="Q18" i="1" s="1"/>
  <c r="M61" i="1"/>
  <c r="AG38" i="1"/>
  <c r="E2" i="25" l="1"/>
  <c r="M43" i="1" s="1"/>
  <c r="Q43" i="1" s="1"/>
  <c r="Q49" i="1" s="1"/>
  <c r="AN1" i="1"/>
  <c r="AP1" i="1" s="1"/>
  <c r="AI38" i="1"/>
  <c r="Q61" i="1"/>
  <c r="Q65" i="1" s="1"/>
  <c r="D32" i="6"/>
  <c r="D35" i="6"/>
  <c r="D34" i="6"/>
  <c r="D31" i="6"/>
  <c r="D33" i="6"/>
  <c r="D37" i="6"/>
  <c r="AF15" i="1"/>
  <c r="D27" i="6"/>
  <c r="D29" i="6"/>
  <c r="D36" i="6"/>
  <c r="AG40" i="1"/>
  <c r="D28" i="6"/>
  <c r="D38" i="6"/>
  <c r="D30" i="6"/>
  <c r="F4" i="6"/>
  <c r="AF13" i="1" l="1"/>
  <c r="AF16" i="1" s="1"/>
  <c r="AG39" i="1"/>
  <c r="AI39" i="1" s="1"/>
  <c r="AK39" i="1" s="1"/>
  <c r="G38" i="6"/>
  <c r="E38" i="6"/>
  <c r="G29" i="6"/>
  <c r="E29" i="6"/>
  <c r="C7" i="6" s="1"/>
  <c r="G33" i="6"/>
  <c r="E33" i="6"/>
  <c r="G32" i="6"/>
  <c r="E32" i="6"/>
  <c r="G31" i="6"/>
  <c r="E31" i="6"/>
  <c r="E28" i="6"/>
  <c r="C6" i="6" s="1"/>
  <c r="E6" i="6" s="1"/>
  <c r="F6" i="6" s="1"/>
  <c r="G28" i="6"/>
  <c r="AI40" i="1"/>
  <c r="AK40" i="1" s="1"/>
  <c r="AG43" i="1"/>
  <c r="G34" i="6"/>
  <c r="E34" i="6"/>
  <c r="E27" i="6"/>
  <c r="C5" i="6" s="1"/>
  <c r="G27" i="6"/>
  <c r="G4" i="6"/>
  <c r="G30" i="6"/>
  <c r="E30" i="6"/>
  <c r="C8" i="6" s="1"/>
  <c r="E36" i="6"/>
  <c r="G36" i="6"/>
  <c r="G37" i="6"/>
  <c r="E37" i="6"/>
  <c r="G35" i="6"/>
  <c r="E35" i="6"/>
  <c r="AK38" i="1"/>
  <c r="AG41" i="1" l="1"/>
  <c r="AG42" i="1" s="1"/>
  <c r="C10" i="6"/>
  <c r="E10" i="6" s="1"/>
  <c r="F10" i="6" s="1"/>
  <c r="C14" i="6"/>
  <c r="E14" i="6" s="1"/>
  <c r="F14" i="6" s="1"/>
  <c r="C12" i="6"/>
  <c r="E12" i="6" s="1"/>
  <c r="F12" i="6" s="1"/>
  <c r="C11" i="6"/>
  <c r="E11" i="6" s="1"/>
  <c r="F11" i="6" s="1"/>
  <c r="C15" i="6"/>
  <c r="E15" i="6" s="1"/>
  <c r="F15" i="6" s="1"/>
  <c r="C9" i="6"/>
  <c r="E9" i="6" s="1"/>
  <c r="F9" i="6" s="1"/>
  <c r="C13" i="6"/>
  <c r="E13" i="6" s="1"/>
  <c r="F13" i="6" s="1"/>
  <c r="C16" i="6"/>
  <c r="E16" i="6" s="1"/>
  <c r="F16" i="6" s="1"/>
  <c r="E7" i="6"/>
  <c r="F7" i="6" s="1"/>
  <c r="AK41" i="1"/>
  <c r="AI41" i="1"/>
  <c r="AG14" i="1"/>
  <c r="AG12" i="1"/>
  <c r="AG11" i="1"/>
  <c r="AG13" i="1"/>
  <c r="AG15" i="1"/>
  <c r="H4" i="6"/>
  <c r="E5" i="6"/>
  <c r="C17" i="6" l="1"/>
  <c r="E8" i="6"/>
  <c r="F8" i="6" s="1"/>
  <c r="F5" i="6"/>
  <c r="I20" i="6" l="1"/>
  <c r="G85" i="1" s="1"/>
  <c r="E17" i="6"/>
  <c r="G5" i="6"/>
  <c r="G6" i="6" s="1"/>
  <c r="I21" i="6"/>
  <c r="F17" i="6"/>
  <c r="H5" i="6" l="1"/>
  <c r="H6" i="6"/>
  <c r="G7" i="6"/>
  <c r="H7" i="6" l="1"/>
  <c r="G8" i="6"/>
  <c r="G9" i="6" l="1"/>
  <c r="H8" i="6"/>
  <c r="H9" i="6" l="1"/>
  <c r="G10" i="6"/>
  <c r="G11" i="6" l="1"/>
  <c r="H10" i="6"/>
  <c r="H11" i="6" l="1"/>
  <c r="G12" i="6"/>
  <c r="G13" i="6" l="1"/>
  <c r="H12" i="6"/>
  <c r="G14" i="6" l="1"/>
  <c r="H13" i="6"/>
  <c r="G15" i="6" l="1"/>
  <c r="H14" i="6"/>
  <c r="H15" i="6" l="1"/>
  <c r="G16" i="6"/>
  <c r="H16" i="6" s="1"/>
  <c r="H17" i="6" l="1"/>
  <c r="G86" i="1" s="1"/>
</calcChain>
</file>

<file path=xl/sharedStrings.xml><?xml version="1.0" encoding="utf-8"?>
<sst xmlns="http://schemas.openxmlformats.org/spreadsheetml/2006/main" count="22607" uniqueCount="4101">
  <si>
    <t>Pilgersdorf</t>
  </si>
  <si>
    <t>Lockenhaus</t>
  </si>
  <si>
    <t>Rattersdorf-Liebing</t>
  </si>
  <si>
    <t>Mannersdorf an der Rabnitz</t>
  </si>
  <si>
    <t>Oberloisdorf</t>
  </si>
  <si>
    <t>Unterpullendorf</t>
  </si>
  <si>
    <t>Steinberg-Dörfl</t>
  </si>
  <si>
    <t>Stadtschlaining</t>
  </si>
  <si>
    <t>Weiden bei Rechnitz</t>
  </si>
  <si>
    <t>Markt Neuhodis</t>
  </si>
  <si>
    <t>Rechnitz</t>
  </si>
  <si>
    <t>Schachendorf</t>
  </si>
  <si>
    <t>Hannersdorf</t>
  </si>
  <si>
    <t>Deutsch Schützen</t>
  </si>
  <si>
    <t>Rotenturm an der Pinka</t>
  </si>
  <si>
    <t>Großpetersdorf</t>
  </si>
  <si>
    <t>Mischendorf</t>
  </si>
  <si>
    <t>Kohfidisch</t>
  </si>
  <si>
    <t>Eberau</t>
  </si>
  <si>
    <t>Strem</t>
  </si>
  <si>
    <t>Kemeten</t>
  </si>
  <si>
    <t>Litzelsdorf</t>
  </si>
  <si>
    <t>Ollersdorf im Burgenland</t>
  </si>
  <si>
    <t>Olbendorf</t>
  </si>
  <si>
    <t>St. Michael im Burgenland</t>
  </si>
  <si>
    <t>Güssing</t>
  </si>
  <si>
    <t>Gerersdorf bei Güssing</t>
  </si>
  <si>
    <t>Kukmirn</t>
  </si>
  <si>
    <t>Stegersbach</t>
  </si>
  <si>
    <t>Stinatz</t>
  </si>
  <si>
    <t>Heiligenkreuz im Lafnitztal</t>
  </si>
  <si>
    <t>Eltendorf</t>
  </si>
  <si>
    <t>Königsdorf</t>
  </si>
  <si>
    <t>Förderung für Salzburg</t>
  </si>
  <si>
    <t>Förderung für Tirol</t>
  </si>
  <si>
    <t>Förderung für Vorarlberg</t>
  </si>
  <si>
    <t>Latschach</t>
  </si>
  <si>
    <t>Faak am See</t>
  </si>
  <si>
    <t>Finkenstein</t>
  </si>
  <si>
    <t>Gödersdorf</t>
  </si>
  <si>
    <t>Fürnitz</t>
  </si>
  <si>
    <t>Riegersdorf</t>
  </si>
  <si>
    <t>Arnoldstein</t>
  </si>
  <si>
    <t>Thörl-Maglern</t>
  </si>
  <si>
    <t>Nötsch</t>
  </si>
  <si>
    <t>St. Georgen im Gailtal</t>
  </si>
  <si>
    <t>Feistritz an der Gail</t>
  </si>
  <si>
    <t>Vorderberg</t>
  </si>
  <si>
    <t>Görtschach</t>
  </si>
  <si>
    <t>Hermagor</t>
  </si>
  <si>
    <t>Weißbriach</t>
  </si>
  <si>
    <t>St. Stefan an der Gail</t>
  </si>
  <si>
    <t>Jenig</t>
  </si>
  <si>
    <t>Kirchbach</t>
  </si>
  <si>
    <t>Reisach</t>
  </si>
  <si>
    <t>Gundersheim</t>
  </si>
  <si>
    <t>Dellach</t>
  </si>
  <si>
    <t>Kötschach-Mauthen</t>
  </si>
  <si>
    <t>St. Jakob im Lesachtal</t>
  </si>
  <si>
    <t>Birnbaum</t>
  </si>
  <si>
    <t>Liesing</t>
  </si>
  <si>
    <t>Maria Luggau</t>
  </si>
  <si>
    <t>Rothenthurn</t>
  </si>
  <si>
    <t>Ferndorf</t>
  </si>
  <si>
    <t>Feistritz an der Drau</t>
  </si>
  <si>
    <t>Paternion</t>
  </si>
  <si>
    <t>Fresach</t>
  </si>
  <si>
    <t>Zlan</t>
  </si>
  <si>
    <t>Stockenboi</t>
  </si>
  <si>
    <t>Weißenstein</t>
  </si>
  <si>
    <t>Gummern</t>
  </si>
  <si>
    <t>Sachsenburg</t>
  </si>
  <si>
    <t>Lind im Drautal</t>
  </si>
  <si>
    <t>Steinfeld</t>
  </si>
  <si>
    <t>Greifenburg</t>
  </si>
  <si>
    <t>Weißensee</t>
  </si>
  <si>
    <t>Berg im Drautal</t>
  </si>
  <si>
    <t>Irschen</t>
  </si>
  <si>
    <t>Oberdrauburg</t>
  </si>
  <si>
    <t>Nikolsdorf</t>
  </si>
  <si>
    <t>Summen</t>
  </si>
  <si>
    <t>Cash Flow</t>
  </si>
  <si>
    <t>Barwerte</t>
  </si>
  <si>
    <t>Ausgaben</t>
  </si>
  <si>
    <t>[%]</t>
  </si>
  <si>
    <t>Kapitalwert</t>
  </si>
  <si>
    <t>Obervellach</t>
  </si>
  <si>
    <t>PLZ:</t>
  </si>
  <si>
    <t>kWh/m²a</t>
  </si>
  <si>
    <t>Ort</t>
  </si>
  <si>
    <t>PLZ</t>
  </si>
  <si>
    <t>Land</t>
  </si>
  <si>
    <t>PLZ-Differenz</t>
  </si>
  <si>
    <t>Jährliche Einstrahlung</t>
  </si>
  <si>
    <t>mittlere Aussentemperatur</t>
  </si>
  <si>
    <t>Längengrad</t>
  </si>
  <si>
    <t>Breitengrad</t>
  </si>
  <si>
    <t>Ermittlung der Einstrahlung</t>
  </si>
  <si>
    <t>[kWh/m²a]</t>
  </si>
  <si>
    <t>[°C]</t>
  </si>
  <si>
    <t>[°]</t>
  </si>
  <si>
    <t>Admont</t>
  </si>
  <si>
    <t>AUT</t>
  </si>
  <si>
    <t xml:space="preserve">    5.86</t>
  </si>
  <si>
    <t>-14.45</t>
  </si>
  <si>
    <t xml:space="preserve"> 47.57</t>
  </si>
  <si>
    <t>Diff:</t>
  </si>
  <si>
    <t>Amstetten</t>
  </si>
  <si>
    <t xml:space="preserve">    8.79</t>
  </si>
  <si>
    <t>-14.83</t>
  </si>
  <si>
    <t xml:space="preserve"> 48.08</t>
  </si>
  <si>
    <t>Einstrahlung</t>
  </si>
  <si>
    <t>Arriach</t>
  </si>
  <si>
    <t xml:space="preserve">    6.46</t>
  </si>
  <si>
    <t>-13.85</t>
  </si>
  <si>
    <t xml:space="preserve"> 46.72</t>
  </si>
  <si>
    <t>Bad Gleichenberg</t>
  </si>
  <si>
    <t xml:space="preserve">    9.14</t>
  </si>
  <si>
    <t>-15.88</t>
  </si>
  <si>
    <t xml:space="preserve"> 46.87</t>
  </si>
  <si>
    <t>Bad Ischl</t>
  </si>
  <si>
    <t xml:space="preserve">    7.90</t>
  </si>
  <si>
    <t>-13.60</t>
  </si>
  <si>
    <t xml:space="preserve"> 47.72</t>
  </si>
  <si>
    <t>Bludenz</t>
  </si>
  <si>
    <t xml:space="preserve">    7.97</t>
  </si>
  <si>
    <t xml:space="preserve"> -9.82</t>
  </si>
  <si>
    <t xml:space="preserve"> 48.50</t>
  </si>
  <si>
    <t>Bruck an der Mur</t>
  </si>
  <si>
    <t xml:space="preserve">    8.07</t>
  </si>
  <si>
    <t>-15.25</t>
  </si>
  <si>
    <t xml:space="preserve"> 47.42</t>
  </si>
  <si>
    <t>Eisenerz</t>
  </si>
  <si>
    <t xml:space="preserve">    7.11</t>
  </si>
  <si>
    <t>-14.88</t>
  </si>
  <si>
    <t xml:space="preserve"> 47.53</t>
  </si>
  <si>
    <t>Eisenstadt</t>
  </si>
  <si>
    <t xml:space="preserve">   10.01</t>
  </si>
  <si>
    <t>-16.68</t>
  </si>
  <si>
    <t xml:space="preserve"> 47.90</t>
  </si>
  <si>
    <t>Feldkirch</t>
  </si>
  <si>
    <t xml:space="preserve">    8.30</t>
  </si>
  <si>
    <t xml:space="preserve"> -9.58</t>
  </si>
  <si>
    <t xml:space="preserve"> 47.23</t>
  </si>
  <si>
    <t>Ferlach</t>
  </si>
  <si>
    <t xml:space="preserve">    7.82</t>
  </si>
  <si>
    <t>-14.28</t>
  </si>
  <si>
    <t xml:space="preserve"> 46.52</t>
  </si>
  <si>
    <t>Kalkulationszinssatz:</t>
  </si>
  <si>
    <t xml:space="preserve">Fresach </t>
  </si>
  <si>
    <t xml:space="preserve">    7.07</t>
  </si>
  <si>
    <t>-13.68</t>
  </si>
  <si>
    <t xml:space="preserve"> 46.70</t>
  </si>
  <si>
    <t>Gargellen</t>
  </si>
  <si>
    <t xml:space="preserve">    4.42</t>
  </si>
  <si>
    <t xml:space="preserve"> -9.92</t>
  </si>
  <si>
    <t xml:space="preserve"> 46.97</t>
  </si>
  <si>
    <t>Gmunden</t>
  </si>
  <si>
    <t xml:space="preserve">    8.57</t>
  </si>
  <si>
    <t>-13.80</t>
  </si>
  <si>
    <t xml:space="preserve"> 47.92</t>
  </si>
  <si>
    <t>Graz</t>
  </si>
  <si>
    <t xml:space="preserve">    9.17</t>
  </si>
  <si>
    <t>-15.42</t>
  </si>
  <si>
    <t xml:space="preserve"> 47.67</t>
  </si>
  <si>
    <t>Gumpoldskirchen</t>
  </si>
  <si>
    <t xml:space="preserve">    9.11</t>
  </si>
  <si>
    <t>-16.27</t>
  </si>
  <si>
    <t xml:space="preserve"> 48.33</t>
  </si>
  <si>
    <t>Hallstadt</t>
  </si>
  <si>
    <t xml:space="preserve">    8.00</t>
  </si>
  <si>
    <t>-13.63</t>
  </si>
  <si>
    <t xml:space="preserve"> 47.55</t>
  </si>
  <si>
    <t>Imst</t>
  </si>
  <si>
    <t xml:space="preserve">    7.31</t>
  </si>
  <si>
    <t>-10.72</t>
  </si>
  <si>
    <t>Innsbruck</t>
  </si>
  <si>
    <t xml:space="preserve">    8.61</t>
  </si>
  <si>
    <t>-11.40</t>
  </si>
  <si>
    <t xml:space="preserve"> 47.27</t>
  </si>
  <si>
    <t>Kitzbuehl</t>
  </si>
  <si>
    <t xml:space="preserve">    6.19</t>
  </si>
  <si>
    <t>-12.38</t>
  </si>
  <si>
    <t xml:space="preserve"> 47.45</t>
  </si>
  <si>
    <t>Klagenfurt</t>
  </si>
  <si>
    <t xml:space="preserve">    8.14</t>
  </si>
  <si>
    <t>-14.30</t>
  </si>
  <si>
    <t xml:space="preserve"> 46.62</t>
  </si>
  <si>
    <t>Krems a. d. Donau</t>
  </si>
  <si>
    <t xml:space="preserve">    9.62</t>
  </si>
  <si>
    <t>-15.58</t>
  </si>
  <si>
    <t>Kremsmünster</t>
  </si>
  <si>
    <t xml:space="preserve">    7.69</t>
  </si>
  <si>
    <t>-14.12</t>
  </si>
  <si>
    <t xml:space="preserve"> 48.05</t>
  </si>
  <si>
    <t>Leoben</t>
  </si>
  <si>
    <t>-15.83</t>
  </si>
  <si>
    <t xml:space="preserve"> 47.37</t>
  </si>
  <si>
    <t>Lienz</t>
  </si>
  <si>
    <t xml:space="preserve">    7.41</t>
  </si>
  <si>
    <t>-12.80</t>
  </si>
  <si>
    <t xml:space="preserve"> 46.83</t>
  </si>
  <si>
    <t>Lilienfeld</t>
  </si>
  <si>
    <t xml:space="preserve">    8.36</t>
  </si>
  <si>
    <t>-15.62</t>
  </si>
  <si>
    <t xml:space="preserve"> 48.17</t>
  </si>
  <si>
    <t>Millstatt</t>
  </si>
  <si>
    <t xml:space="preserve">    8.67</t>
  </si>
  <si>
    <t>-13.57</t>
  </si>
  <si>
    <t xml:space="preserve"> 46.80</t>
  </si>
  <si>
    <t>Mondsee</t>
  </si>
  <si>
    <t xml:space="preserve">    7.84</t>
  </si>
  <si>
    <t>-13.33</t>
  </si>
  <si>
    <t xml:space="preserve"> 47.85</t>
  </si>
  <si>
    <t>Mönichkirchen</t>
  </si>
  <si>
    <t xml:space="preserve">    6.25</t>
  </si>
  <si>
    <t>-16.17</t>
  </si>
  <si>
    <t xml:space="preserve"> 47.50</t>
  </si>
  <si>
    <t>Nauders</t>
  </si>
  <si>
    <t xml:space="preserve">    4.71</t>
  </si>
  <si>
    <t>-10.50</t>
  </si>
  <si>
    <t xml:space="preserve"> 46.88</t>
  </si>
  <si>
    <t>Neumarkt in der Steiermark</t>
  </si>
  <si>
    <t xml:space="preserve">    6.39</t>
  </si>
  <si>
    <t>-14.42</t>
  </si>
  <si>
    <t xml:space="preserve">    8.44</t>
  </si>
  <si>
    <t>-13.20</t>
  </si>
  <si>
    <t xml:space="preserve"> 46.93</t>
  </si>
  <si>
    <t>Oberwölz Stadt</t>
  </si>
  <si>
    <t xml:space="preserve">    6.20</t>
  </si>
  <si>
    <t>-14.27</t>
  </si>
  <si>
    <t xml:space="preserve"> 47.20</t>
  </si>
  <si>
    <t>Radentheim</t>
  </si>
  <si>
    <t xml:space="preserve">    7.53</t>
  </si>
  <si>
    <t>-13.70</t>
  </si>
  <si>
    <t>Ramsau Dachstein</t>
  </si>
  <si>
    <t xml:space="preserve">    5.16</t>
  </si>
  <si>
    <t>-12.88</t>
  </si>
  <si>
    <t xml:space="preserve"> 47.60</t>
  </si>
  <si>
    <t>Rauris</t>
  </si>
  <si>
    <t xml:space="preserve">    5.82</t>
  </si>
  <si>
    <t>-12.98</t>
  </si>
  <si>
    <t>Reichersberg</t>
  </si>
  <si>
    <t xml:space="preserve">    8.48</t>
  </si>
  <si>
    <t>-13.37</t>
  </si>
  <si>
    <t>Reichraming</t>
  </si>
  <si>
    <t xml:space="preserve">    8.13</t>
  </si>
  <si>
    <t xml:space="preserve"> 47.88</t>
  </si>
  <si>
    <t>Salzburg</t>
  </si>
  <si>
    <t xml:space="preserve">    8.39</t>
  </si>
  <si>
    <t xml:space="preserve"> 47.82</t>
  </si>
  <si>
    <t>St. Lorenzen im Lesachtal</t>
  </si>
  <si>
    <t xml:space="preserve">    5.73</t>
  </si>
  <si>
    <t xml:space="preserve"> 12.77</t>
  </si>
  <si>
    <t>St. Michael i. Lundgau</t>
  </si>
  <si>
    <t xml:space="preserve">    6.55</t>
  </si>
  <si>
    <t>-13.48</t>
  </si>
  <si>
    <t xml:space="preserve"> 47.83</t>
  </si>
  <si>
    <t>St. Pölten</t>
  </si>
  <si>
    <t xml:space="preserve">    8.59</t>
  </si>
  <si>
    <t>-15.60</t>
  </si>
  <si>
    <t xml:space="preserve"> 48.20</t>
  </si>
  <si>
    <t>Velden am Wörtersee</t>
  </si>
  <si>
    <t xml:space="preserve">    8.04</t>
  </si>
  <si>
    <t>-14.33</t>
  </si>
  <si>
    <t>Villach</t>
  </si>
  <si>
    <t>Nähere Informationen zur Förderung:</t>
  </si>
  <si>
    <t>Förderung erfolgt auf Basis eines Punktesystemes;</t>
  </si>
  <si>
    <t>für die Photovoltaikanlage erhält man maximal 40 Punkte; diese entsprechen 4.000 €</t>
  </si>
  <si>
    <t>-13.83</t>
  </si>
  <si>
    <t>Wels</t>
  </si>
  <si>
    <t>-14.17</t>
  </si>
  <si>
    <t>Weyer Mark</t>
  </si>
  <si>
    <t xml:space="preserve">    7.58</t>
  </si>
  <si>
    <t>-14.65</t>
  </si>
  <si>
    <t>Wels Postfach</t>
  </si>
  <si>
    <t>Thalheim bei Wels</t>
  </si>
  <si>
    <t>Buchkirchen</t>
  </si>
  <si>
    <t>Scharten</t>
  </si>
  <si>
    <t>Mistelbach bei Wels</t>
  </si>
  <si>
    <t>Marchtrenk</t>
  </si>
  <si>
    <t>Holzhausen</t>
  </si>
  <si>
    <t>Weißkirchen</t>
  </si>
  <si>
    <t>Sipbachzell</t>
  </si>
  <si>
    <t>Eggendorf im Traunkreis</t>
  </si>
  <si>
    <t>Gunskirchen</t>
  </si>
  <si>
    <t>Pennewang</t>
  </si>
  <si>
    <t>Offenhausen</t>
  </si>
  <si>
    <t>Krenglbach</t>
  </si>
  <si>
    <t>Pichl bei Wels</t>
  </si>
  <si>
    <t>Kematen am Innbach</t>
  </si>
  <si>
    <t>Steinhaus</t>
  </si>
  <si>
    <t>Sattledt</t>
  </si>
  <si>
    <t>Pettenbach</t>
  </si>
  <si>
    <t>Scharnstein</t>
  </si>
  <si>
    <t>Grünau im Almtal</t>
  </si>
  <si>
    <t>Lambach</t>
  </si>
  <si>
    <t>Stadl-Paura</t>
  </si>
  <si>
    <t>Steinerkirchen an der Traun</t>
  </si>
  <si>
    <t>Eberstalzell</t>
  </si>
  <si>
    <t>Bad Wimsbach-Neydharting</t>
  </si>
  <si>
    <t>Vorchdorf</t>
  </si>
  <si>
    <t>Kirchham</t>
  </si>
  <si>
    <t>Roitham</t>
  </si>
  <si>
    <t>Steyrermühl</t>
  </si>
  <si>
    <t>Laakirchen</t>
  </si>
  <si>
    <t>Oberweis</t>
  </si>
  <si>
    <t>Neukirchen bei Lambach</t>
  </si>
  <si>
    <t>Bachmanning</t>
  </si>
  <si>
    <t>Gaspoltshofen</t>
  </si>
  <si>
    <t>Altenhof am Hausruck</t>
  </si>
  <si>
    <t>Weibern</t>
  </si>
  <si>
    <t>Aistersheim</t>
  </si>
  <si>
    <t>Haag am Hausruck</t>
  </si>
  <si>
    <t>Rottenbach</t>
  </si>
  <si>
    <t>Geboltskirchen</t>
  </si>
  <si>
    <t>Schwanenstadt</t>
  </si>
  <si>
    <t>Breitenschützing</t>
  </si>
  <si>
    <t>Niederthalheim</t>
  </si>
  <si>
    <t>Desselbrunn</t>
  </si>
  <si>
    <t>Ohlsdorf</t>
  </si>
  <si>
    <t>Bad Schallerbach</t>
  </si>
  <si>
    <t>Wallern an der Trattnach</t>
  </si>
  <si>
    <t>Schlüßlberg</t>
  </si>
  <si>
    <t>Grieskirchen</t>
  </si>
  <si>
    <t>Michaelnbach</t>
  </si>
  <si>
    <t>Gallspach</t>
  </si>
  <si>
    <t>Meggenhofen</t>
  </si>
  <si>
    <t>Taufkirchen an der Trattnach</t>
  </si>
  <si>
    <t>Hofkirchen an der Trattnach</t>
  </si>
  <si>
    <t>Neumarkt im Hausruckkreis</t>
  </si>
  <si>
    <t>Altschwendt</t>
  </si>
  <si>
    <t>Peuerbach</t>
  </si>
  <si>
    <t>Natternbach</t>
  </si>
  <si>
    <t>Neukirchen am Walde</t>
  </si>
  <si>
    <t>St. Aegidi</t>
  </si>
  <si>
    <t>Waizenkirchen</t>
  </si>
  <si>
    <t>Prambachkirchen</t>
  </si>
  <si>
    <t>Heiligenberg</t>
  </si>
  <si>
    <t>Wendling</t>
  </si>
  <si>
    <t>Pram</t>
  </si>
  <si>
    <t>Peterskirchen</t>
  </si>
  <si>
    <t>Dorf</t>
  </si>
  <si>
    <t>Riedau</t>
  </si>
  <si>
    <t>Taiskirchen im Innkreis</t>
  </si>
  <si>
    <t>Andrichsfurt</t>
  </si>
  <si>
    <t>Zell an der Pram</t>
  </si>
  <si>
    <t>Raab</t>
  </si>
  <si>
    <t>Enzenkirchen</t>
  </si>
  <si>
    <t>St. Willibald</t>
  </si>
  <si>
    <t>Andorf</t>
  </si>
  <si>
    <t>Sigharting</t>
  </si>
  <si>
    <t>Lambrechten</t>
  </si>
  <si>
    <t>Eggerding</t>
  </si>
  <si>
    <t>St. Marienkirchen bei Schärding</t>
  </si>
  <si>
    <t>Taufkirchen an der Pram</t>
  </si>
  <si>
    <t>Diersbach</t>
  </si>
  <si>
    <t>Mayrhof</t>
  </si>
  <si>
    <t>Schärding</t>
  </si>
  <si>
    <t>St. Florian am Inn</t>
  </si>
  <si>
    <t>Wernstein am Inn</t>
  </si>
  <si>
    <t>Schardenberg</t>
  </si>
  <si>
    <t>Freinberg</t>
  </si>
  <si>
    <t>Brunnenthal</t>
  </si>
  <si>
    <t>Rainbach im Innkreis</t>
  </si>
  <si>
    <t>Münzkirchen</t>
  </si>
  <si>
    <t>St. Roman</t>
  </si>
  <si>
    <t>Kopfing im Innkreis</t>
  </si>
  <si>
    <t>Attnang-Puchheim</t>
  </si>
  <si>
    <t>Traunkirchen</t>
  </si>
  <si>
    <t>Ebensee</t>
  </si>
  <si>
    <t>Pinsdorf</t>
  </si>
  <si>
    <t>Altmünster</t>
  </si>
  <si>
    <t>Neukirchen</t>
  </si>
  <si>
    <t>Ort bei Gmunden</t>
  </si>
  <si>
    <t>Gschwandt</t>
  </si>
  <si>
    <t>St. Konrad</t>
  </si>
  <si>
    <t>Lauffen</t>
  </si>
  <si>
    <t>Bad Goisern</t>
  </si>
  <si>
    <t>Steeg</t>
  </si>
  <si>
    <t>Gosau</t>
  </si>
  <si>
    <t>Gosau-Hintertal</t>
  </si>
  <si>
    <t>Hallstatt</t>
  </si>
  <si>
    <t>Obertraun</t>
  </si>
  <si>
    <t>Vöcklabruck</t>
  </si>
  <si>
    <t>Ungenach</t>
  </si>
  <si>
    <t>Zell am Pettenfirst</t>
  </si>
  <si>
    <t>Ampflwang</t>
  </si>
  <si>
    <t>Regau</t>
  </si>
  <si>
    <t>Rutzenmoos</t>
  </si>
  <si>
    <t>Timelkam</t>
  </si>
  <si>
    <t>Gampern</t>
  </si>
  <si>
    <t>Weyregg am Attersee</t>
  </si>
  <si>
    <t>Steinbach am Attersee</t>
  </si>
  <si>
    <t>Weißenbach</t>
  </si>
  <si>
    <t>Lenzing</t>
  </si>
  <si>
    <t>Schörfling</t>
  </si>
  <si>
    <t>Seewalchen am Attersee</t>
  </si>
  <si>
    <t>Attersee</t>
  </si>
  <si>
    <t>Nußdorf am Attersee</t>
  </si>
  <si>
    <t>Unterach</t>
  </si>
  <si>
    <t>Vöcklamarkt</t>
  </si>
  <si>
    <t>Zipf</t>
  </si>
  <si>
    <t>Neukirchen an der Vöckla</t>
  </si>
  <si>
    <t>Frankenburg am Hausruck</t>
  </si>
  <si>
    <t>Pramet</t>
  </si>
  <si>
    <t>PLZ-Historisch</t>
  </si>
  <si>
    <t>intern</t>
  </si>
  <si>
    <t>St. Georgen im Attergau</t>
  </si>
  <si>
    <t>Straß im Attergau</t>
  </si>
  <si>
    <t>Oberwang</t>
  </si>
  <si>
    <t>Frankenmarkt</t>
  </si>
  <si>
    <t>Pöndorf</t>
  </si>
  <si>
    <t>Fornach</t>
  </si>
  <si>
    <t>Zell am Moos</t>
  </si>
  <si>
    <t>Oberhofen am Irrsee</t>
  </si>
  <si>
    <t>Ottnang</t>
  </si>
  <si>
    <t>Wolfsegg am Hausruck</t>
  </si>
  <si>
    <t>Atzbach</t>
  </si>
  <si>
    <t>Thomasroith</t>
  </si>
  <si>
    <t>Eberschwang</t>
  </si>
  <si>
    <t>Ried im Innkreis</t>
  </si>
  <si>
    <t>Neuhofen im Innkreis</t>
  </si>
  <si>
    <t>Schildorn</t>
  </si>
  <si>
    <t>Hohenzell</t>
  </si>
  <si>
    <t>Geiersberg</t>
  </si>
  <si>
    <t>Lohnsburg</t>
  </si>
  <si>
    <t>Waldzell</t>
  </si>
  <si>
    <t>St. Marienkirchen am Hausruck</t>
  </si>
  <si>
    <t>Mettmach</t>
  </si>
  <si>
    <t>Kirchheim im Innkreis</t>
  </si>
  <si>
    <t>Wildenau</t>
  </si>
  <si>
    <t>Mehrnbach</t>
  </si>
  <si>
    <t>Gurten</t>
  </si>
  <si>
    <t>Geinberg</t>
  </si>
  <si>
    <t>Altheim</t>
  </si>
  <si>
    <t>Polling im Innkreis</t>
  </si>
  <si>
    <t>Weng im Innkreis</t>
  </si>
  <si>
    <t>Mühlheim am Inn</t>
  </si>
  <si>
    <t>Mining</t>
  </si>
  <si>
    <t>St. Peter am Hart</t>
  </si>
  <si>
    <t>Eitzing</t>
  </si>
  <si>
    <t>Aurolzmünster</t>
  </si>
  <si>
    <t>Utzenaich</t>
  </si>
  <si>
    <t>Ort im Innkreis</t>
  </si>
  <si>
    <t>Suben</t>
  </si>
  <si>
    <t>Antiesenhofen</t>
  </si>
  <si>
    <t>St. Veit an der Gölsen</t>
  </si>
  <si>
    <t>Rainfeld</t>
  </si>
  <si>
    <t>Rohrbach</t>
  </si>
  <si>
    <t>Hainfeld</t>
  </si>
  <si>
    <t>Kleinzell-Salzerbad</t>
  </si>
  <si>
    <t>Ramsau</t>
  </si>
  <si>
    <t>Marktl, Traisental</t>
  </si>
  <si>
    <t>Freiland</t>
  </si>
  <si>
    <t>Türnitz</t>
  </si>
  <si>
    <t>Hohenberg</t>
  </si>
  <si>
    <t>St. Aegyd am Neuwalde</t>
  </si>
  <si>
    <t>Kernhof</t>
  </si>
  <si>
    <t>Ober-Grafendorf</t>
  </si>
  <si>
    <t>Hofstetten</t>
  </si>
  <si>
    <t>Rabenstein an der Pielach</t>
  </si>
  <si>
    <t>Kirchberg an der Pielach</t>
  </si>
  <si>
    <t>Loich</t>
  </si>
  <si>
    <t>Schwarzenbach an der Pielach</t>
  </si>
  <si>
    <t>Frankenfels</t>
  </si>
  <si>
    <t>Puchenstuben</t>
  </si>
  <si>
    <t>Gösing an der Mariazellerbahn</t>
  </si>
  <si>
    <t>Annaberg</t>
  </si>
  <si>
    <t>Wienerbruck</t>
  </si>
  <si>
    <t>Mitterbach</t>
  </si>
  <si>
    <t>St. Margarethen an der Sierning</t>
  </si>
  <si>
    <t>Bischofstetten</t>
  </si>
  <si>
    <t>Kilb</t>
  </si>
  <si>
    <t>Mank</t>
  </si>
  <si>
    <t>Kirnberg an der Mank</t>
  </si>
  <si>
    <t>Texing</t>
  </si>
  <si>
    <t>St. Leonhard am Forst</t>
  </si>
  <si>
    <t>Ruprechtshofen</t>
  </si>
  <si>
    <t>Wieselburg</t>
  </si>
  <si>
    <t>Purgstall</t>
  </si>
  <si>
    <t>Petzenkirchen</t>
  </si>
  <si>
    <t>Erlauf</t>
  </si>
  <si>
    <t>Steinakirchen am Forst</t>
  </si>
  <si>
    <t>Wang</t>
  </si>
  <si>
    <t>Randegg</t>
  </si>
  <si>
    <t>Gresten</t>
  </si>
  <si>
    <t>Scheibbs</t>
  </si>
  <si>
    <t>Oberndorf an der Melk</t>
  </si>
  <si>
    <t>St. Georgen an der Leys</t>
  </si>
  <si>
    <t>St. Anton an der Jeßnitz</t>
  </si>
  <si>
    <t>Kienberg</t>
  </si>
  <si>
    <t>Gaming</t>
  </si>
  <si>
    <t>Lunz am See</t>
  </si>
  <si>
    <t>Lackenhof</t>
  </si>
  <si>
    <t>Amstetten, Niederösterreich</t>
  </si>
  <si>
    <t>St. Georgen am Ybbsfelde</t>
  </si>
  <si>
    <t>Zeillern</t>
  </si>
  <si>
    <t>Wallsee</t>
  </si>
  <si>
    <t>Strengberg</t>
  </si>
  <si>
    <t>Ardagger</t>
  </si>
  <si>
    <t>Viehdorf</t>
  </si>
  <si>
    <t>Neustadtl an der Donau</t>
  </si>
  <si>
    <t>Euratsfeld</t>
  </si>
  <si>
    <t>Ferschnitz</t>
  </si>
  <si>
    <t>Kematen</t>
  </si>
  <si>
    <t>Rosenau am Sonntagberg</t>
  </si>
  <si>
    <t>Böhlerwerk</t>
  </si>
  <si>
    <t>Gaflenz</t>
  </si>
  <si>
    <t>O</t>
  </si>
  <si>
    <t>Weyer</t>
  </si>
  <si>
    <t>Waidhofen an der Ybbs</t>
  </si>
  <si>
    <t>Ybbsitz</t>
  </si>
  <si>
    <t>Opponitz</t>
  </si>
  <si>
    <t>Hollenstein an der Ybbs</t>
  </si>
  <si>
    <t>St. Georgen am Reith</t>
  </si>
  <si>
    <t>Göstling an der Ybbs</t>
  </si>
  <si>
    <t>Haag</t>
  </si>
  <si>
    <t>Weistrach</t>
  </si>
  <si>
    <t>St. Peter in der Au</t>
  </si>
  <si>
    <t>Seitenstetten</t>
  </si>
  <si>
    <t>Wolfsbach</t>
  </si>
  <si>
    <t>Ertl</t>
  </si>
  <si>
    <t>Aschbach Markt</t>
  </si>
  <si>
    <t>Mauer-Öhling</t>
  </si>
  <si>
    <t>Ulmerfeld-Hausmening</t>
  </si>
  <si>
    <t>Neuhofen an der Ybbs</t>
  </si>
  <si>
    <t>Albrechtsberg an der Großen Krems</t>
  </si>
  <si>
    <t>Spitz</t>
  </si>
  <si>
    <t>Mitterarnsdorf</t>
  </si>
  <si>
    <t>Mühldorf</t>
  </si>
  <si>
    <t>Kottes</t>
  </si>
  <si>
    <t>Ottenschlag</t>
  </si>
  <si>
    <t>Traunstein</t>
  </si>
  <si>
    <t>Schönbach</t>
  </si>
  <si>
    <t>Aggsbach Markt</t>
  </si>
  <si>
    <t>Aggsbach Dorf</t>
  </si>
  <si>
    <t>Maria Laach am Jauerling</t>
  </si>
  <si>
    <t>Emmersdorf an der Donau</t>
  </si>
  <si>
    <t>Pöggstall</t>
  </si>
  <si>
    <t>Leiben</t>
  </si>
  <si>
    <t>Weiten</t>
  </si>
  <si>
    <t>Raxendorf</t>
  </si>
  <si>
    <t>Klein-Pöchlarn</t>
  </si>
  <si>
    <t>Artstetten</t>
  </si>
  <si>
    <t>Münichreith</t>
  </si>
  <si>
    <t>Laimbach am Ostrong</t>
  </si>
  <si>
    <t>Martinsberg</t>
  </si>
  <si>
    <t>Gutenbrunn</t>
  </si>
  <si>
    <t>Marbach an der Donau</t>
  </si>
  <si>
    <t>Maria Taferl</t>
  </si>
  <si>
    <t>Persenbeug</t>
  </si>
  <si>
    <t>Yspertal</t>
  </si>
  <si>
    <t>St. Oswald</t>
  </si>
  <si>
    <t>Nöchling</t>
  </si>
  <si>
    <t>Großweikersdorf</t>
  </si>
  <si>
    <t>Niederrußbach</t>
  </si>
  <si>
    <t>Glaubendorf</t>
  </si>
  <si>
    <t>Ziersdorf</t>
  </si>
  <si>
    <t>Großmeiseldorf</t>
  </si>
  <si>
    <t>Maissau</t>
  </si>
  <si>
    <t>Harmannsdorf</t>
  </si>
  <si>
    <t>Sitzendorf an der Schmida</t>
  </si>
  <si>
    <t>Ravelsbach</t>
  </si>
  <si>
    <t>Limberg</t>
  </si>
  <si>
    <t>Straning</t>
  </si>
  <si>
    <t>Eggenburg</t>
  </si>
  <si>
    <t>Pulkau</t>
  </si>
  <si>
    <t>Theras</t>
  </si>
  <si>
    <t>Röschitz</t>
  </si>
  <si>
    <t>Stockern</t>
  </si>
  <si>
    <t>Sigmundsherberg</t>
  </si>
  <si>
    <t>Walkenstein</t>
  </si>
  <si>
    <t>Hötzelsdorf</t>
  </si>
  <si>
    <t>Irnfritz</t>
  </si>
  <si>
    <t>Messern</t>
  </si>
  <si>
    <t>Ludweis</t>
  </si>
  <si>
    <t>Japons</t>
  </si>
  <si>
    <t>Göpfritz an der Wild</t>
  </si>
  <si>
    <t>Allentsteig</t>
  </si>
  <si>
    <t>Kirchberg an der Wild</t>
  </si>
  <si>
    <t>Groß Siegharts</t>
  </si>
  <si>
    <t>Dietmanns</t>
  </si>
  <si>
    <t>Aigen</t>
  </si>
  <si>
    <t>Raabs an der Thaya</t>
  </si>
  <si>
    <t>Karlstein an der Thaya</t>
  </si>
  <si>
    <t>Weikertschlag an der Thaya</t>
  </si>
  <si>
    <t>Großau</t>
  </si>
  <si>
    <t>Waidhofen an der Thaya</t>
  </si>
  <si>
    <t>Pfaffenschlag bei Waidhofen an der Thaya</t>
  </si>
  <si>
    <t>Windigsteig</t>
  </si>
  <si>
    <t>Thaya</t>
  </si>
  <si>
    <t>Dobersberg</t>
  </si>
  <si>
    <t>Waldkirchen an der Thaya</t>
  </si>
  <si>
    <t>Kautzen</t>
  </si>
  <si>
    <t>Gastern</t>
  </si>
  <si>
    <t>Heidenreichstein</t>
  </si>
  <si>
    <t>Eggern</t>
  </si>
  <si>
    <t>Eisgarn</t>
  </si>
  <si>
    <t>Reingers</t>
  </si>
  <si>
    <t>Nagelberg</t>
  </si>
  <si>
    <t>Langegg</t>
  </si>
  <si>
    <t>Brand</t>
  </si>
  <si>
    <t>Litschau</t>
  </si>
  <si>
    <t>Schwarzenau</t>
  </si>
  <si>
    <t>Vitis</t>
  </si>
  <si>
    <t>Echsenbach</t>
  </si>
  <si>
    <t>Rappottenstein</t>
  </si>
  <si>
    <t>Grafenschlag</t>
  </si>
  <si>
    <t>Großgöttfritz</t>
  </si>
  <si>
    <t>Waldhausen</t>
  </si>
  <si>
    <t>Groß Gerungs</t>
  </si>
  <si>
    <t>Langschlag</t>
  </si>
  <si>
    <t>Großschönau</t>
  </si>
  <si>
    <t>Jagenbach</t>
  </si>
  <si>
    <t>Rosenau Schloß</t>
  </si>
  <si>
    <t>Arbesbach</t>
  </si>
  <si>
    <t>Schweiggers</t>
  </si>
  <si>
    <t>Kirchberg am Walde</t>
  </si>
  <si>
    <t>Hirschbach</t>
  </si>
  <si>
    <t>Schrems</t>
  </si>
  <si>
    <t>Pürbach</t>
  </si>
  <si>
    <t>Hoheneich</t>
  </si>
  <si>
    <t>Gmünd</t>
  </si>
  <si>
    <t>Waldenstein</t>
  </si>
  <si>
    <t>Heinrichs bei Weitra</t>
  </si>
  <si>
    <t>Weitra</t>
  </si>
  <si>
    <t>St. Martin</t>
  </si>
  <si>
    <t>Bad Großpertholz</t>
  </si>
  <si>
    <t>Karlstift</t>
  </si>
  <si>
    <t>Linz, Donau</t>
  </si>
  <si>
    <t>Linz</t>
  </si>
  <si>
    <t>Linz, Donau Postfach</t>
  </si>
  <si>
    <t>Ledenitzen</t>
  </si>
  <si>
    <t>Haibach ob der Donau</t>
  </si>
  <si>
    <t>St. Agatha</t>
  </si>
  <si>
    <t>Wesenufer</t>
  </si>
  <si>
    <t>Engelhartszell</t>
  </si>
  <si>
    <t>Vichtenstein</t>
  </si>
  <si>
    <t>Esternberg</t>
  </si>
  <si>
    <t>Ottensheim</t>
  </si>
  <si>
    <t>Feldkirchen an der Donau</t>
  </si>
  <si>
    <t>Walding</t>
  </si>
  <si>
    <t>Rottenegg</t>
  </si>
  <si>
    <t>St. Martin im Mühlkreis</t>
  </si>
  <si>
    <t>Neuhaus an der Donau</t>
  </si>
  <si>
    <t>Kleinzell im Mühlkreis</t>
  </si>
  <si>
    <t>Neufelden</t>
  </si>
  <si>
    <t>Altenfelden</t>
  </si>
  <si>
    <t>Arnreit</t>
  </si>
  <si>
    <t>Obermühl</t>
  </si>
  <si>
    <t>Obernberg am Inn</t>
  </si>
  <si>
    <t>St. Georgen bei Obernberg am Inn</t>
  </si>
  <si>
    <t>Weilbach</t>
  </si>
  <si>
    <t>Sa</t>
  </si>
  <si>
    <t>Salzburg-Liefering</t>
  </si>
  <si>
    <t>Salzburg-Europark</t>
  </si>
  <si>
    <t>Salzburg Postfach</t>
  </si>
  <si>
    <t>Salzburg-Gnigl</t>
  </si>
  <si>
    <t>Salzburg-Parsch</t>
  </si>
  <si>
    <t>Salzburg-Aigen</t>
  </si>
  <si>
    <t>Salzburg-Kasern</t>
  </si>
  <si>
    <t>Salzburg-Morzg</t>
  </si>
  <si>
    <t>Elsbethen-Glasenbach</t>
  </si>
  <si>
    <t>Wals</t>
  </si>
  <si>
    <t>Siezenheim</t>
  </si>
  <si>
    <t>Wals-Himmelreich</t>
  </si>
  <si>
    <t>Anif</t>
  </si>
  <si>
    <t>Grödig</t>
  </si>
  <si>
    <t>Gartenau-St. Leonhard</t>
  </si>
  <si>
    <t>Großgmain</t>
  </si>
  <si>
    <t>Niederalm</t>
  </si>
  <si>
    <t>Lofer</t>
  </si>
  <si>
    <t>Unken</t>
  </si>
  <si>
    <t>St. Martin bei Lofer</t>
  </si>
  <si>
    <t>Weißbach bei Lofer</t>
  </si>
  <si>
    <t>Bergheim</t>
  </si>
  <si>
    <t>Anthering</t>
  </si>
  <si>
    <t>Oberndorf bei Salzburg</t>
  </si>
  <si>
    <t>Bürmoos</t>
  </si>
  <si>
    <t>Lamprechtshausen</t>
  </si>
  <si>
    <t>St. Georgen bei Salzburg</t>
  </si>
  <si>
    <t>Göming</t>
  </si>
  <si>
    <t>Ostermiething</t>
  </si>
  <si>
    <t>Ach</t>
  </si>
  <si>
    <t>Franking</t>
  </si>
  <si>
    <t>Geretsberg</t>
  </si>
  <si>
    <t>Gilgenberg am Weilhart</t>
  </si>
  <si>
    <t>Schwand im Innkreis</t>
  </si>
  <si>
    <t>Moosdorf</t>
  </si>
  <si>
    <t>Eggelsberg</t>
  </si>
  <si>
    <t>Feldkirchen bei Mattighofen</t>
  </si>
  <si>
    <t>Handenberg</t>
  </si>
  <si>
    <t>Neukirchen an der Enknach</t>
  </si>
  <si>
    <t>Nußdorf am Haunsberg</t>
  </si>
  <si>
    <t>Michaelbeuern</t>
  </si>
  <si>
    <t>Elixhausen</t>
  </si>
  <si>
    <t>Obertrum am See</t>
  </si>
  <si>
    <t>Mattsee</t>
  </si>
  <si>
    <t>Seeham</t>
  </si>
  <si>
    <t>Berndorf bei Salzburg</t>
  </si>
  <si>
    <t>Seekirchen</t>
  </si>
  <si>
    <t>Neumarkt am Wallersee</t>
  </si>
  <si>
    <t>Köstendorf</t>
  </si>
  <si>
    <t>Straßwalchen</t>
  </si>
  <si>
    <t>Schleedorf</t>
  </si>
  <si>
    <t>Friedburg</t>
  </si>
  <si>
    <t>Schneegattern</t>
  </si>
  <si>
    <t>Lochen</t>
  </si>
  <si>
    <t>Munderfing</t>
  </si>
  <si>
    <t>Pfaffstätt</t>
  </si>
  <si>
    <t>Auerbach</t>
  </si>
  <si>
    <t>Jeging</t>
  </si>
  <si>
    <t>Mattighofen</t>
  </si>
  <si>
    <t>Schalchen</t>
  </si>
  <si>
    <t>Zuordnung der PLZ und des Ortes (Bundesland):</t>
  </si>
  <si>
    <t>St. Jakob</t>
  </si>
  <si>
    <t>Sinabelkirchen</t>
  </si>
  <si>
    <t>Ilz</t>
  </si>
  <si>
    <t>Großwilfersdorf</t>
  </si>
  <si>
    <t>Hainersdorf</t>
  </si>
  <si>
    <t>Großsteinbach</t>
  </si>
  <si>
    <t>Bad Waltersdorf</t>
  </si>
  <si>
    <t>Sebersdorf</t>
  </si>
  <si>
    <t>Ebersdorf</t>
  </si>
  <si>
    <t>Buch</t>
  </si>
  <si>
    <t>Fürstenfeld</t>
  </si>
  <si>
    <t>Loipersdorf bei Fürstenfeld</t>
  </si>
  <si>
    <t>Bad Blumau</t>
  </si>
  <si>
    <t>Burgau</t>
  </si>
  <si>
    <t>Neudau</t>
  </si>
  <si>
    <t>Wörth an der Lafnitz</t>
  </si>
  <si>
    <t>Unterrohr</t>
  </si>
  <si>
    <t>St. Johann in der Haide</t>
  </si>
  <si>
    <t>Laßnitzhöhe</t>
  </si>
  <si>
    <t>Nestelbach bei Graz</t>
  </si>
  <si>
    <t>Markt Hartmannsdorf</t>
  </si>
  <si>
    <t>Ottendorf an der Rittschein</t>
  </si>
  <si>
    <t>Breitenfeld an der Rittschein</t>
  </si>
  <si>
    <t>St. Margarethen an der Raab</t>
  </si>
  <si>
    <t>Studenzen</t>
  </si>
  <si>
    <t>St. Marein bei Graz</t>
  </si>
  <si>
    <t>Kirchberg an der Raab</t>
  </si>
  <si>
    <t>Feldbach</t>
  </si>
  <si>
    <t>Edelsbach bei Feldbach</t>
  </si>
  <si>
    <t>Lödersdorf</t>
  </si>
  <si>
    <t>Paldau</t>
  </si>
  <si>
    <t>Gnas</t>
  </si>
  <si>
    <t>Trautmannsdorf in Oststeiermark</t>
  </si>
  <si>
    <t>Straden</t>
  </si>
  <si>
    <t>Fehring</t>
  </si>
  <si>
    <t>Unterlamm</t>
  </si>
  <si>
    <t>Kapfenstein</t>
  </si>
  <si>
    <t>St. Anna am Aigen</t>
  </si>
  <si>
    <t>Tieschen</t>
  </si>
  <si>
    <t>Hatzendorf</t>
  </si>
  <si>
    <t>Söchau</t>
  </si>
  <si>
    <t>Kärnten</t>
  </si>
  <si>
    <t>Oberösterreich</t>
  </si>
  <si>
    <t>Steiermark</t>
  </si>
  <si>
    <t>Tirol</t>
  </si>
  <si>
    <t>Vorarlberg</t>
  </si>
  <si>
    <t>Inflationsrate/Jahr:</t>
  </si>
  <si>
    <t>Strompreissteigerung/Jahr:</t>
  </si>
  <si>
    <t>Jennersdorf</t>
  </si>
  <si>
    <t>Mogersdorf</t>
  </si>
  <si>
    <t>St. Martin an der Raab</t>
  </si>
  <si>
    <t>Minihof-Liebau</t>
  </si>
  <si>
    <t>Neuhaus am Klausenbach</t>
  </si>
  <si>
    <t>Kalsdorf bei Graz</t>
  </si>
  <si>
    <t>Werndorf</t>
  </si>
  <si>
    <t>Lebring</t>
  </si>
  <si>
    <t>Wildon</t>
  </si>
  <si>
    <t>Hengsberg</t>
  </si>
  <si>
    <t>Allerheiligen bei Wildon</t>
  </si>
  <si>
    <t>St. Georgen an der Stiefing</t>
  </si>
  <si>
    <t>Wolfsberg im Schwarzautal</t>
  </si>
  <si>
    <t>St. Nikolai ob Draßling</t>
  </si>
  <si>
    <t>St. Veit am Vogau</t>
  </si>
  <si>
    <t>Gabersdorf</t>
  </si>
  <si>
    <t>Leibnitz</t>
  </si>
  <si>
    <t>Wagna</t>
  </si>
  <si>
    <t>Fresing</t>
  </si>
  <si>
    <t>Kitzeck im Sausal</t>
  </si>
  <si>
    <t>Gleinstätten</t>
  </si>
  <si>
    <t>St. Andrä im Sausal</t>
  </si>
  <si>
    <t>Heimschuh</t>
  </si>
  <si>
    <t>Großklein</t>
  </si>
  <si>
    <t>St. Johann im Saggautal</t>
  </si>
  <si>
    <t>Arnfels</t>
  </si>
  <si>
    <t>Oberhaag</t>
  </si>
  <si>
    <t>Ehrenhausen</t>
  </si>
  <si>
    <t>Gamlitz</t>
  </si>
  <si>
    <t>Leutschach</t>
  </si>
  <si>
    <t>Spielfeld</t>
  </si>
  <si>
    <t>Straß in Steiermark</t>
  </si>
  <si>
    <t>Weitersfeld an der Mur</t>
  </si>
  <si>
    <t>Bundesförderung</t>
  </si>
  <si>
    <t>Tarif</t>
  </si>
  <si>
    <t>Investition</t>
  </si>
  <si>
    <t>Landesförderung</t>
  </si>
  <si>
    <t>-</t>
  </si>
  <si>
    <t>Mureck</t>
  </si>
  <si>
    <t>Weinburg am Saßbach</t>
  </si>
  <si>
    <t>Gosdorf</t>
  </si>
  <si>
    <t>Deutsch Goritz</t>
  </si>
  <si>
    <t>Unterpurkla</t>
  </si>
  <si>
    <t>Bad Radkersburg</t>
  </si>
  <si>
    <t>Halbenrain</t>
  </si>
  <si>
    <t>Klöch</t>
  </si>
  <si>
    <t>Lieboch</t>
  </si>
  <si>
    <t>Lannach</t>
  </si>
  <si>
    <t>St. Josef Weststeiermark</t>
  </si>
  <si>
    <t>Preding</t>
  </si>
  <si>
    <t>St. Nikolai im Sausal</t>
  </si>
  <si>
    <t>Stainz</t>
  </si>
  <si>
    <t>St. Stefan ob Stainz</t>
  </si>
  <si>
    <t>Wettmannstätten</t>
  </si>
  <si>
    <t>Groß St. Florian</t>
  </si>
  <si>
    <t>Frauental an der Laßnitz</t>
  </si>
  <si>
    <t>Bad Gams</t>
  </si>
  <si>
    <t>Deutschlandsberg</t>
  </si>
  <si>
    <t>Schwanberg</t>
  </si>
  <si>
    <t>St. Peter im Sulmtal</t>
  </si>
  <si>
    <t>St. Martin im Sulmtal</t>
  </si>
  <si>
    <t>Pölfing-Brunn</t>
  </si>
  <si>
    <t>Wies</t>
  </si>
  <si>
    <t>Eibiswald</t>
  </si>
  <si>
    <t>St. Oswald ob Eibiswald</t>
  </si>
  <si>
    <t>Neukirchen am Großvenediger</t>
  </si>
  <si>
    <t>Wald im Pinzgau</t>
  </si>
  <si>
    <t>Krimml</t>
  </si>
  <si>
    <t>Maishofen</t>
  </si>
  <si>
    <t>Viehhofen</t>
  </si>
  <si>
    <t>Saalbach</t>
  </si>
  <si>
    <t>Hinterglemm</t>
  </si>
  <si>
    <t>Saalfelden am Steinernen Meer</t>
  </si>
  <si>
    <t>Maria Alm am Steinernen Meer</t>
  </si>
  <si>
    <t>Leogang</t>
  </si>
  <si>
    <t>T</t>
  </si>
  <si>
    <t>Innsbruck Postfach</t>
  </si>
  <si>
    <t>Innsbruck-Arzl</t>
  </si>
  <si>
    <t>Innsbruck-Neuarzl</t>
  </si>
  <si>
    <t>Hall in Tirol</t>
  </si>
  <si>
    <t>Rum</t>
  </si>
  <si>
    <t>Thaur</t>
  </si>
  <si>
    <t>Absam</t>
  </si>
  <si>
    <t>Mils</t>
  </si>
  <si>
    <t>Gnadenwald</t>
  </si>
  <si>
    <t>Ampass</t>
  </si>
  <si>
    <t>Aldrans</t>
  </si>
  <si>
    <t>Lans</t>
  </si>
  <si>
    <t>Sistrans</t>
  </si>
  <si>
    <t>Rinn</t>
  </si>
  <si>
    <t>Tulfes</t>
  </si>
  <si>
    <t>Steinach am Brenner</t>
  </si>
  <si>
    <t>Trins</t>
  </si>
  <si>
    <t>St. Jodok am Brenner</t>
  </si>
  <si>
    <t>Gries am Brenner</t>
  </si>
  <si>
    <t>Obernberg am Brenner</t>
  </si>
  <si>
    <t>Natters</t>
  </si>
  <si>
    <t>Mutters</t>
  </si>
  <si>
    <t>Telfes im Stubai</t>
  </si>
  <si>
    <t>Fulpmes</t>
  </si>
  <si>
    <t>Neustift im Stubaital</t>
  </si>
  <si>
    <t>Zirl</t>
  </si>
  <si>
    <t>Oberperfuss</t>
  </si>
  <si>
    <t>Kematen in Tirol</t>
  </si>
  <si>
    <t>Völs</t>
  </si>
  <si>
    <t>Unterperfuss</t>
  </si>
  <si>
    <t>Ranggen</t>
  </si>
  <si>
    <t>Sellrain</t>
  </si>
  <si>
    <t>Gries im Sellrain</t>
  </si>
  <si>
    <t>Kühtai</t>
  </si>
  <si>
    <t>St. Sigmund</t>
  </si>
  <si>
    <t>Jenbach</t>
  </si>
  <si>
    <t>Wiesing</t>
  </si>
  <si>
    <t>Maurach</t>
  </si>
  <si>
    <t>Pertisau</t>
  </si>
  <si>
    <t>Achenkirch</t>
  </si>
  <si>
    <t>Gallzein</t>
  </si>
  <si>
    <t>Brixlegg</t>
  </si>
  <si>
    <t>Münster</t>
  </si>
  <si>
    <t>Kramsach</t>
  </si>
  <si>
    <t>Brandenberg</t>
  </si>
  <si>
    <t>Reith im Alpbachtal</t>
  </si>
  <si>
    <t>Alpbach</t>
  </si>
  <si>
    <t>Rattenberg</t>
  </si>
  <si>
    <t>Kundl</t>
  </si>
  <si>
    <t>Breitenbach am Inn</t>
  </si>
  <si>
    <t>Bruck am Ziller</t>
  </si>
  <si>
    <t>Strass im Zillertal</t>
  </si>
  <si>
    <t>Schlitters</t>
  </si>
  <si>
    <t>Fügen</t>
  </si>
  <si>
    <t>Hart im Zillertal</t>
  </si>
  <si>
    <t>Uderns</t>
  </si>
  <si>
    <t>Kaltenbach</t>
  </si>
  <si>
    <t>Aschau</t>
  </si>
  <si>
    <t>Stumm</t>
  </si>
  <si>
    <t>Stummerberg</t>
  </si>
  <si>
    <t>Zell am Ziller</t>
  </si>
  <si>
    <t>Gerlos</t>
  </si>
  <si>
    <t>Hippach</t>
  </si>
  <si>
    <t>Ramsau im Zillertal</t>
  </si>
  <si>
    <t>Mayrhofen</t>
  </si>
  <si>
    <t>Finkenberg</t>
  </si>
  <si>
    <t>Tux</t>
  </si>
  <si>
    <t>Hintertux</t>
  </si>
  <si>
    <t>Ginzling</t>
  </si>
  <si>
    <t>Wörgl</t>
  </si>
  <si>
    <t>Itter</t>
  </si>
  <si>
    <t>Söll</t>
  </si>
  <si>
    <t>Wildschönau-Oberau</t>
  </si>
  <si>
    <t>Wildschönau-Auffach</t>
  </si>
  <si>
    <t>Wildschönau-Niederau</t>
  </si>
  <si>
    <t>Angerberg</t>
  </si>
  <si>
    <t>Kirchbichl</t>
  </si>
  <si>
    <t>Bad Häring</t>
  </si>
  <si>
    <t>Mariastein</t>
  </si>
  <si>
    <t>Kufstein</t>
  </si>
  <si>
    <t>Schwoich</t>
  </si>
  <si>
    <t>Thiersee</t>
  </si>
  <si>
    <t>Langkampfen</t>
  </si>
  <si>
    <t>Ebbs</t>
  </si>
  <si>
    <t>Niederndorf</t>
  </si>
  <si>
    <t>Erl</t>
  </si>
  <si>
    <t>Walchsee</t>
  </si>
  <si>
    <t>Kössen</t>
  </si>
  <si>
    <t>Scheffau am Wilden Kaiser</t>
  </si>
  <si>
    <t>Ellmau</t>
  </si>
  <si>
    <t>Going am Wilden Kaiser</t>
  </si>
  <si>
    <t>Hopfgarten</t>
  </si>
  <si>
    <t>Westendorf</t>
  </si>
  <si>
    <t>Brixen im Thale</t>
  </si>
  <si>
    <t>Kirchberg in Tirol</t>
  </si>
  <si>
    <t>Kitzbühel</t>
  </si>
  <si>
    <t>Oberndorf in Tirol</t>
  </si>
  <si>
    <t>Jochberg</t>
  </si>
  <si>
    <t>St. Johann in Tirol</t>
  </si>
  <si>
    <t>Kirchdorf in Tirol</t>
  </si>
  <si>
    <t>Erpfendorf</t>
  </si>
  <si>
    <t>Waidring</t>
  </si>
  <si>
    <t>Schwendt</t>
  </si>
  <si>
    <t>Fieberbrunn</t>
  </si>
  <si>
    <t>St. Jakob in Haus</t>
  </si>
  <si>
    <t>St. Ulrich am Pillersee</t>
  </si>
  <si>
    <t>Hochfilzen</t>
  </si>
  <si>
    <t>Inzing</t>
  </si>
  <si>
    <t>Hatting</t>
  </si>
  <si>
    <t>Flaurling</t>
  </si>
  <si>
    <t>Polling</t>
  </si>
  <si>
    <t>Pfaffenhofen</t>
  </si>
  <si>
    <t>Oberhofen im Inntal</t>
  </si>
  <si>
    <t>Pettnau</t>
  </si>
  <si>
    <t>Telfs</t>
  </si>
  <si>
    <t>Telfs-St. Georgen</t>
  </si>
  <si>
    <t>Mieming</t>
  </si>
  <si>
    <t>Obsteig</t>
  </si>
  <si>
    <t>Rietz</t>
  </si>
  <si>
    <t>Stams</t>
  </si>
  <si>
    <t>Mötz</t>
  </si>
  <si>
    <t>Silz</t>
  </si>
  <si>
    <t>Haiming</t>
  </si>
  <si>
    <t>Roppen</t>
  </si>
  <si>
    <t>Ötztal Bahnhof</t>
  </si>
  <si>
    <t>Sautens</t>
  </si>
  <si>
    <t>Oetz</t>
  </si>
  <si>
    <t>Umhausen</t>
  </si>
  <si>
    <t>Längenfeld</t>
  </si>
  <si>
    <t>Sölden</t>
  </si>
  <si>
    <t>Hochsölden</t>
  </si>
  <si>
    <t>Obergurgl</t>
  </si>
  <si>
    <t>Vent</t>
  </si>
  <si>
    <t>Karres</t>
  </si>
  <si>
    <t>Tarrenz</t>
  </si>
  <si>
    <t>Nassereith</t>
  </si>
  <si>
    <t>Arzl im Pitztal</t>
  </si>
  <si>
    <t>Wenns</t>
  </si>
  <si>
    <t>Jerzens</t>
  </si>
  <si>
    <t>St. Leonhard im Pitztal</t>
  </si>
  <si>
    <t>Schönwies</t>
  </si>
  <si>
    <t>Imsterberg</t>
  </si>
  <si>
    <t>Landeck</t>
  </si>
  <si>
    <t>Landeck-Öd</t>
  </si>
  <si>
    <t>Zams</t>
  </si>
  <si>
    <t>Fließ</t>
  </si>
  <si>
    <t>Prutz</t>
  </si>
  <si>
    <t>Feichten im Kaunertal</t>
  </si>
  <si>
    <t>Kaunerberg</t>
  </si>
  <si>
    <t>Fendels</t>
  </si>
  <si>
    <t>Ried im Oberinntal</t>
  </si>
  <si>
    <t>Ladis</t>
  </si>
  <si>
    <t>Fiss</t>
  </si>
  <si>
    <t>Serfaus</t>
  </si>
  <si>
    <t>Tösens</t>
  </si>
  <si>
    <t>Pfunds</t>
  </si>
  <si>
    <t>Spiss</t>
  </si>
  <si>
    <t>Pians</t>
  </si>
  <si>
    <t>Tobadill</t>
  </si>
  <si>
    <t>See</t>
  </si>
  <si>
    <t>Kappl</t>
  </si>
  <si>
    <t>Ischgl</t>
  </si>
  <si>
    <t>Mathon</t>
  </si>
  <si>
    <t>Galtür</t>
  </si>
  <si>
    <t>Strengen</t>
  </si>
  <si>
    <t>Flirsch</t>
  </si>
  <si>
    <t>Pettneu am Arlberg</t>
  </si>
  <si>
    <t>St. Anton am Arlberg</t>
  </si>
  <si>
    <t>Grins</t>
  </si>
  <si>
    <t>Reutte</t>
  </si>
  <si>
    <t>Wängle</t>
  </si>
  <si>
    <t>Heiterwang</t>
  </si>
  <si>
    <t>Bichlbach</t>
  </si>
  <si>
    <t>Berwang</t>
  </si>
  <si>
    <t>Namlos</t>
  </si>
  <si>
    <t>Lermoos</t>
  </si>
  <si>
    <t>Ehrwald</t>
  </si>
  <si>
    <t>Biberwier</t>
  </si>
  <si>
    <t>Stanzach</t>
  </si>
  <si>
    <t>Elmen</t>
  </si>
  <si>
    <t>Vorderhornbach</t>
  </si>
  <si>
    <t>Hinterhornbach</t>
  </si>
  <si>
    <t>Pfafflar</t>
  </si>
  <si>
    <t>Gramais</t>
  </si>
  <si>
    <t>Häselgehr</t>
  </si>
  <si>
    <t>Elbigenalp</t>
  </si>
  <si>
    <t>Bach</t>
  </si>
  <si>
    <t>Holzgau</t>
  </si>
  <si>
    <t>Forchach</t>
  </si>
  <si>
    <t>Weißenbach am Lech</t>
  </si>
  <si>
    <t>Nesselwängle</t>
  </si>
  <si>
    <t>Grän</t>
  </si>
  <si>
    <t>Tannheim</t>
  </si>
  <si>
    <t>Schattwald</t>
  </si>
  <si>
    <t>Vils</t>
  </si>
  <si>
    <t>Jungholz</t>
  </si>
  <si>
    <t>V</t>
  </si>
  <si>
    <t>Bludenz Postfach</t>
  </si>
  <si>
    <t>Bürs</t>
  </si>
  <si>
    <t>Bürserberg</t>
  </si>
  <si>
    <t>Nenzing</t>
  </si>
  <si>
    <t>Thüringen</t>
  </si>
  <si>
    <t>Ludesch</t>
  </si>
  <si>
    <t>Nüziders</t>
  </si>
  <si>
    <t>Bludesch</t>
  </si>
  <si>
    <t>Thüringerberg</t>
  </si>
  <si>
    <t>St. Gerold</t>
  </si>
  <si>
    <t>Blons</t>
  </si>
  <si>
    <t>Sonntag</t>
  </si>
  <si>
    <t>Fontanella</t>
  </si>
  <si>
    <t>Raggal</t>
  </si>
  <si>
    <t>Braz</t>
  </si>
  <si>
    <t>Soboth</t>
  </si>
  <si>
    <t>Söding</t>
  </si>
  <si>
    <t>Mooskirchen</t>
  </si>
  <si>
    <t>Ligist</t>
  </si>
  <si>
    <t>Krottendorf-Gaisfeld</t>
  </si>
  <si>
    <t>St. Johann ob Hohenburg</t>
  </si>
  <si>
    <t>Voitsberg</t>
  </si>
  <si>
    <t>Bärnbach</t>
  </si>
  <si>
    <t>Kainach bei Voitsberg</t>
  </si>
  <si>
    <t>Köflach</t>
  </si>
  <si>
    <t>Rosental an der Kainach</t>
  </si>
  <si>
    <t>Edelschrott</t>
  </si>
  <si>
    <t>Maria Lankowitz</t>
  </si>
  <si>
    <t>Salla</t>
  </si>
  <si>
    <t>Graden</t>
  </si>
  <si>
    <t>Kapfenberg</t>
  </si>
  <si>
    <t>St. Katharein an der Laming</t>
  </si>
  <si>
    <t>Tragöß-Oberort</t>
  </si>
  <si>
    <t>Gasen</t>
  </si>
  <si>
    <t>Thörl</t>
  </si>
  <si>
    <t>Etmißl</t>
  </si>
  <si>
    <t>Aflenz Kurort</t>
  </si>
  <si>
    <t>Turnau</t>
  </si>
  <si>
    <t>Mariazell</t>
  </si>
  <si>
    <t>Gußwerk</t>
  </si>
  <si>
    <t>Wegscheid</t>
  </si>
  <si>
    <t>Gollrad</t>
  </si>
  <si>
    <t>Seewiesen</t>
  </si>
  <si>
    <t>St. Marein im Mürztal</t>
  </si>
  <si>
    <t>St. Lorenzen im Mürztal</t>
  </si>
  <si>
    <t>Allerheiligen im Mürztal</t>
  </si>
  <si>
    <t>Mürzhofen</t>
  </si>
  <si>
    <t>Kindberg</t>
  </si>
  <si>
    <t>Kindberg-Aumühl</t>
  </si>
  <si>
    <t>Stanz im Mürztal</t>
  </si>
  <si>
    <t>Fischbach</t>
  </si>
  <si>
    <t>Wartberg im Mürztal</t>
  </si>
  <si>
    <t>Mitterdorf im Mürztal</t>
  </si>
  <si>
    <t>Dorf Veitsch</t>
  </si>
  <si>
    <t>Großveitsch</t>
  </si>
  <si>
    <t>Langenwang</t>
  </si>
  <si>
    <t>Krieglach</t>
  </si>
  <si>
    <t>Alpl</t>
  </si>
  <si>
    <t>St. Kathrein am Hauenstein</t>
  </si>
  <si>
    <t>Ratten</t>
  </si>
  <si>
    <t>Rettenegg</t>
  </si>
  <si>
    <t>Mürzzuschlag</t>
  </si>
  <si>
    <t>Mürzzuschlag-Hönigsberg</t>
  </si>
  <si>
    <t>Spital am Semmering</t>
  </si>
  <si>
    <t>Steinhaus am Semmering</t>
  </si>
  <si>
    <t>Kapellen</t>
  </si>
  <si>
    <t>Neuberg an der Mürz</t>
  </si>
  <si>
    <t>Mürzsteg</t>
  </si>
  <si>
    <t>Frein an der Mürz</t>
  </si>
  <si>
    <t>Niklasdorf</t>
  </si>
  <si>
    <t>St. Stefan ob Leoben</t>
  </si>
  <si>
    <t>Kraubath an der Mur</t>
  </si>
  <si>
    <t>St. Lorenzen bei Knittelfeld</t>
  </si>
  <si>
    <t>Knittelfeld</t>
  </si>
  <si>
    <t>Spielberg</t>
  </si>
  <si>
    <t>Bischoffeld</t>
  </si>
  <si>
    <t>Seckau</t>
  </si>
  <si>
    <t>St. Marein bei Knittelfeld</t>
  </si>
  <si>
    <t>Großlobming</t>
  </si>
  <si>
    <t>Zeltweg</t>
  </si>
  <si>
    <t>Weißkirchen in Steiermark</t>
  </si>
  <si>
    <t>Obdach</t>
  </si>
  <si>
    <t>Judenburg</t>
  </si>
  <si>
    <t>Fohnsdorf-Arena</t>
  </si>
  <si>
    <t>Fohnsdorf</t>
  </si>
  <si>
    <t>Thalheim</t>
  </si>
  <si>
    <t>St. Peter ob Judenburg</t>
  </si>
  <si>
    <t>St. Georgen ob Judenburg</t>
  </si>
  <si>
    <t>Pöls</t>
  </si>
  <si>
    <t>Oberzeiring</t>
  </si>
  <si>
    <t>Möderbrugg</t>
  </si>
  <si>
    <t>Pusterwald</t>
  </si>
  <si>
    <t>St. Johann am Tauern</t>
  </si>
  <si>
    <t>St. Michael in Obersteiermark</t>
  </si>
  <si>
    <t>Timmersdorf</t>
  </si>
  <si>
    <t>Kammern im Liesingtal</t>
  </si>
  <si>
    <t>Mautern in Steiermark</t>
  </si>
  <si>
    <t>Kalwang</t>
  </si>
  <si>
    <t>Wald am Schoberpaß</t>
  </si>
  <si>
    <t>Treglwang</t>
  </si>
  <si>
    <t>Gaishorn am See</t>
  </si>
  <si>
    <t>Trieben</t>
  </si>
  <si>
    <t>Hohentauern</t>
  </si>
  <si>
    <t>Rottenmann</t>
  </si>
  <si>
    <t>St. Peter-Freienstein</t>
  </si>
  <si>
    <t>Trofaiach</t>
  </si>
  <si>
    <t>Vordernberg</t>
  </si>
  <si>
    <t>Radmer</t>
  </si>
  <si>
    <t>Unzmarkt</t>
  </si>
  <si>
    <t>Scheifling</t>
  </si>
  <si>
    <t>Mariahof</t>
  </si>
  <si>
    <t>St. Lambrecht</t>
  </si>
  <si>
    <t>Neumarkt in Steiermark</t>
  </si>
  <si>
    <t>Mühlen</t>
  </si>
  <si>
    <t>Niederwölz</t>
  </si>
  <si>
    <t>Oberwölz</t>
  </si>
  <si>
    <t>Teufenbach</t>
  </si>
  <si>
    <t>Frojach</t>
  </si>
  <si>
    <t>Katsch an der Mur</t>
  </si>
  <si>
    <t>St. Peter am Kammersberg</t>
  </si>
  <si>
    <t>Wernberg</t>
  </si>
  <si>
    <t>St. Veit an der Glan</t>
  </si>
  <si>
    <t>Kraig</t>
  </si>
  <si>
    <t>Meiselding</t>
  </si>
  <si>
    <t>St. Georgen am Längsee</t>
  </si>
  <si>
    <t>Launsdorf</t>
  </si>
  <si>
    <t>Kappel am Krappfeld</t>
  </si>
  <si>
    <t>Wildbad Einöd</t>
  </si>
  <si>
    <t>Treibach-Althofen</t>
  </si>
  <si>
    <t>Guttaring</t>
  </si>
  <si>
    <t>Lölling</t>
  </si>
  <si>
    <t>Straßburg</t>
  </si>
  <si>
    <t>Gurk</t>
  </si>
  <si>
    <t>Zweinitz</t>
  </si>
  <si>
    <t>Weitensfeld</t>
  </si>
  <si>
    <t>Kleinglödnitz</t>
  </si>
  <si>
    <t>Glödnitz</t>
  </si>
  <si>
    <t>Friesach</t>
  </si>
  <si>
    <t>St. Salvator</t>
  </si>
  <si>
    <t>Grades</t>
  </si>
  <si>
    <t>Metnitz</t>
  </si>
  <si>
    <t>Brückl</t>
  </si>
  <si>
    <t>Eberstein</t>
  </si>
  <si>
    <t>Klein St. Paul</t>
  </si>
  <si>
    <t>Wieting</t>
  </si>
  <si>
    <t>Hüttenberg</t>
  </si>
  <si>
    <t>Knappenberg</t>
  </si>
  <si>
    <t>Wolfsberg, Kärnten</t>
  </si>
  <si>
    <t>St. Michael</t>
  </si>
  <si>
    <t>St. Margarethen im Lavanttal</t>
  </si>
  <si>
    <t>St. Gertraud</t>
  </si>
  <si>
    <t>Eitweg</t>
  </si>
  <si>
    <t>Maria Rojach</t>
  </si>
  <si>
    <t>St. Georgen</t>
  </si>
  <si>
    <t>St. Stefan</t>
  </si>
  <si>
    <t>St. Andrä</t>
  </si>
  <si>
    <t>Twimberg</t>
  </si>
  <si>
    <t>Preitenegg</t>
  </si>
  <si>
    <t>Prebl</t>
  </si>
  <si>
    <t>Bad St. Leonhard im Lavanttal</t>
  </si>
  <si>
    <t>Reichenfels</t>
  </si>
  <si>
    <t>St. Paul im Lavanttal</t>
  </si>
  <si>
    <t>Ettendorf</t>
  </si>
  <si>
    <t>Einstrahlungswert:</t>
  </si>
  <si>
    <t>Wien</t>
  </si>
  <si>
    <t xml:space="preserve">    9.77</t>
  </si>
  <si>
    <t>-16.33</t>
  </si>
  <si>
    <t>Wiener Neustadt</t>
  </si>
  <si>
    <t xml:space="preserve">    9.44</t>
  </si>
  <si>
    <t>-16.23</t>
  </si>
  <si>
    <t>Wolfsberg</t>
  </si>
  <si>
    <t xml:space="preserve">    7.86</t>
  </si>
  <si>
    <t xml:space="preserve"> 46.85</t>
  </si>
  <si>
    <t>Zell am See</t>
  </si>
  <si>
    <t>-12.77</t>
  </si>
  <si>
    <t xml:space="preserve"> 47.32</t>
  </si>
  <si>
    <t>Zwettl</t>
  </si>
  <si>
    <t xml:space="preserve">    5.71</t>
  </si>
  <si>
    <t>-15.15</t>
  </si>
  <si>
    <t xml:space="preserve"> 48.58</t>
  </si>
  <si>
    <t>Bundesland</t>
  </si>
  <si>
    <t>NamePLZTyp</t>
  </si>
  <si>
    <t>intern_extern</t>
  </si>
  <si>
    <t>adressierbar</t>
  </si>
  <si>
    <t>Postfach</t>
  </si>
  <si>
    <t>W</t>
  </si>
  <si>
    <t>InteressentenPLZ</t>
  </si>
  <si>
    <t>extern</t>
  </si>
  <si>
    <t>Nein</t>
  </si>
  <si>
    <t>Ja</t>
  </si>
  <si>
    <t>PLZ-Adressierung</t>
  </si>
  <si>
    <t>Wien Postfach</t>
  </si>
  <si>
    <t>PLZ-Postfach</t>
  </si>
  <si>
    <t>Wien-Parlament</t>
  </si>
  <si>
    <t>Wien-VÖPh</t>
  </si>
  <si>
    <t>Wien-Flughafen</t>
  </si>
  <si>
    <t>Wien-Vereinte Nationen</t>
  </si>
  <si>
    <t>UNDOF AUSBATT</t>
  </si>
  <si>
    <t>FeldPLZ</t>
  </si>
  <si>
    <t>AUCON EUFOR</t>
  </si>
  <si>
    <t>AUCON KFOR</t>
  </si>
  <si>
    <t>Stockerau</t>
  </si>
  <si>
    <t>N</t>
  </si>
  <si>
    <t>Großmugl</t>
  </si>
  <si>
    <t>Leitzersdorf</t>
  </si>
  <si>
    <t>Niederhollabrunn</t>
  </si>
  <si>
    <t>Sierndorf</t>
  </si>
  <si>
    <t>Göllersdorf</t>
  </si>
  <si>
    <t>Breitenwaida</t>
  </si>
  <si>
    <t>Hollabrunn</t>
  </si>
  <si>
    <t>Immendorf</t>
  </si>
  <si>
    <t>Nappersdorf</t>
  </si>
  <si>
    <t>Mailberg</t>
  </si>
  <si>
    <t>Eggendorf im Thale</t>
  </si>
  <si>
    <t>Enzersdorf im Thale</t>
  </si>
  <si>
    <t>Kammersdorf</t>
  </si>
  <si>
    <t>Großharras</t>
  </si>
  <si>
    <t>Wullersdorf</t>
  </si>
  <si>
    <t>Guntersdorf</t>
  </si>
  <si>
    <t>Zellerndorf</t>
  </si>
  <si>
    <t>Pernersdorf-Pfaffendorf</t>
  </si>
  <si>
    <t>Jetzelsdorf</t>
  </si>
  <si>
    <t>Haugsdorf</t>
  </si>
  <si>
    <t>Hadres</t>
  </si>
  <si>
    <t>Seefeld-Großkadolz</t>
  </si>
  <si>
    <t>Zwingendorf</t>
  </si>
  <si>
    <t>Wulzeshofen</t>
  </si>
  <si>
    <t>Retz</t>
  </si>
  <si>
    <t>Schrattenthal</t>
  </si>
  <si>
    <t>Unterretzbach</t>
  </si>
  <si>
    <t>Niederfladnitz</t>
  </si>
  <si>
    <t>Hardegg</t>
  </si>
  <si>
    <t>Pleißing</t>
  </si>
  <si>
    <t>Weitersfeld</t>
  </si>
  <si>
    <t>Langau</t>
  </si>
  <si>
    <t>Riegersburg</t>
  </si>
  <si>
    <t>Geras</t>
  </si>
  <si>
    <t>Zissersdorf</t>
  </si>
  <si>
    <t>Drosendorf</t>
  </si>
  <si>
    <t>Korneuburg</t>
  </si>
  <si>
    <t>Bisamberg</t>
  </si>
  <si>
    <t>Langenzersdorf</t>
  </si>
  <si>
    <t>Spillern</t>
  </si>
  <si>
    <t>Oberrohrbach</t>
  </si>
  <si>
    <t>Rückersdorf-Harmannsdorf</t>
  </si>
  <si>
    <t>Würnitz</t>
  </si>
  <si>
    <t>Karnabrunn</t>
  </si>
  <si>
    <t>Großrußbach</t>
  </si>
  <si>
    <t>Ernstbrunn</t>
  </si>
  <si>
    <t>Niederleis</t>
  </si>
  <si>
    <t>Wolkersdorf im Weinviertel</t>
  </si>
  <si>
    <t>Ulrichskirchen</t>
  </si>
  <si>
    <t>Schleinbach</t>
  </si>
  <si>
    <t>Niederkreuzstetten</t>
  </si>
  <si>
    <t>Neubau</t>
  </si>
  <si>
    <t>Ladendorf</t>
  </si>
  <si>
    <t>Mistelbach</t>
  </si>
  <si>
    <t>Frättingsdorf</t>
  </si>
  <si>
    <t>Loosdorf</t>
  </si>
  <si>
    <t>Staatz-Kautendorf</t>
  </si>
  <si>
    <t>Neudorf bei Staatz</t>
  </si>
  <si>
    <t>Laa an der Thaya</t>
  </si>
  <si>
    <t>Ameis</t>
  </si>
  <si>
    <t>Großkrut</t>
  </si>
  <si>
    <t>Altlichtenwarth</t>
  </si>
  <si>
    <t>Hausbrunn</t>
  </si>
  <si>
    <t>Asparn an der Zaya</t>
  </si>
  <si>
    <t>Gnadendorf</t>
  </si>
  <si>
    <t>Stronsdorf</t>
  </si>
  <si>
    <t>Unterstinkenbrunn</t>
  </si>
  <si>
    <t>Poysbrunn</t>
  </si>
  <si>
    <t>Falkenstein</t>
  </si>
  <si>
    <t>Ottenthal</t>
  </si>
  <si>
    <t>Wildendürnbach</t>
  </si>
  <si>
    <t>Drasenhofen</t>
  </si>
  <si>
    <t>Poysdorf</t>
  </si>
  <si>
    <t>Herrnbaumgarten</t>
  </si>
  <si>
    <t>Schrattenberg</t>
  </si>
  <si>
    <t>Dobermannsdorf</t>
  </si>
  <si>
    <t>Palterndorf</t>
  </si>
  <si>
    <t>Neusiedl an der Zaya</t>
  </si>
  <si>
    <t>Hauskirchen</t>
  </si>
  <si>
    <t>Prinzendorf an der Zaya</t>
  </si>
  <si>
    <t>Gaweinstal</t>
  </si>
  <si>
    <t>Kettlasbrunn</t>
  </si>
  <si>
    <t>Wilfersdorf</t>
  </si>
  <si>
    <t>Gerasdorf</t>
  </si>
  <si>
    <t>Enzersfeld</t>
  </si>
  <si>
    <t>Großebersdorf</t>
  </si>
  <si>
    <t>Pillichsdorf</t>
  </si>
  <si>
    <t>Großengersdorf</t>
  </si>
  <si>
    <t>Bockfließ</t>
  </si>
  <si>
    <t>Auersthal</t>
  </si>
  <si>
    <t>Raggendorf</t>
  </si>
  <si>
    <t>Groß Schweinbarth</t>
  </si>
  <si>
    <t>Bad Pirawarth</t>
  </si>
  <si>
    <t>Hohenruppersdorf</t>
  </si>
  <si>
    <t>Obersulz</t>
  </si>
  <si>
    <t>Zistersdorf</t>
  </si>
  <si>
    <t>Gänserndorf</t>
  </si>
  <si>
    <t>Strasshof an der Nordbahn</t>
  </si>
  <si>
    <t>Deutsch Wagram</t>
  </si>
  <si>
    <t>Schönkirchen</t>
  </si>
  <si>
    <t>Prottes</t>
  </si>
  <si>
    <t>Matzen</t>
  </si>
  <si>
    <t>Spannberg</t>
  </si>
  <si>
    <t>Velm-Götzendorf</t>
  </si>
  <si>
    <t>Ebenthal</t>
  </si>
  <si>
    <t>Ollersdorf</t>
  </si>
  <si>
    <t>Weikendorf</t>
  </si>
  <si>
    <t>Angern an der March</t>
  </si>
  <si>
    <t>Stillfried</t>
  </si>
  <si>
    <t>Dürnkrut</t>
  </si>
  <si>
    <t>Jedenspeigen</t>
  </si>
  <si>
    <t>Drösing</t>
  </si>
  <si>
    <t>Niederabsdorf</t>
  </si>
  <si>
    <t>Hohenau an der March</t>
  </si>
  <si>
    <t>Rabensburg</t>
  </si>
  <si>
    <t>Bernhardsthal</t>
  </si>
  <si>
    <t>Reintal</t>
  </si>
  <si>
    <t>Raasdorf</t>
  </si>
  <si>
    <t>Markgrafneusiedl</t>
  </si>
  <si>
    <t>Obersiebenbrunn</t>
  </si>
  <si>
    <t>Untersiebenbrunn</t>
  </si>
  <si>
    <t xml:space="preserve">Strompreisentwicklung am 17.03.09 </t>
  </si>
  <si>
    <t>http://www.e-control.at/portal/page/portal/ECONTROL_HOME/STROM/STROMPREISE/ENDVERBRAUCHERPREISE</t>
  </si>
  <si>
    <t>Leopoldsdorf im Marchfelde</t>
  </si>
  <si>
    <t>Haringsee</t>
  </si>
  <si>
    <t>Lassee</t>
  </si>
  <si>
    <t>Engelhartstetten</t>
  </si>
  <si>
    <t>Marchegg Stadt</t>
  </si>
  <si>
    <t>Marchegg Bahnhof</t>
  </si>
  <si>
    <t>Oberweiden</t>
  </si>
  <si>
    <t>Groß-Enzersdorf</t>
  </si>
  <si>
    <t>Orth an der Donau</t>
  </si>
  <si>
    <t>Eckartsau</t>
  </si>
  <si>
    <t>Schwechat</t>
  </si>
  <si>
    <t>Zwölfaxing</t>
  </si>
  <si>
    <t>Schwechat-Mannswörth</t>
  </si>
  <si>
    <t>Schwechat-Rannersdorf</t>
  </si>
  <si>
    <t>Himberg</t>
  </si>
  <si>
    <t>Maria Lanzendorf</t>
  </si>
  <si>
    <t>Vösendorf</t>
  </si>
  <si>
    <t>Hennersdorf</t>
  </si>
  <si>
    <t>Leopoldsdorf</t>
  </si>
  <si>
    <t>Mödling</t>
  </si>
  <si>
    <t>Maria Enzersdorf</t>
  </si>
  <si>
    <t>Brunn am Gebirge</t>
  </si>
  <si>
    <t>Schöder</t>
  </si>
  <si>
    <t>Murau</t>
  </si>
  <si>
    <t>Stolzalpe</t>
  </si>
  <si>
    <t>Ranten</t>
  </si>
  <si>
    <t>Krakaudorf</t>
  </si>
  <si>
    <t>St. Georgen ob Murau</t>
  </si>
  <si>
    <t>Stadl an der Mur</t>
  </si>
  <si>
    <t>Predlitz</t>
  </si>
  <si>
    <t>Turrach</t>
  </si>
  <si>
    <t>Selzthal</t>
  </si>
  <si>
    <t>Lassing</t>
  </si>
  <si>
    <t>Ardning</t>
  </si>
  <si>
    <t>Johnsbach</t>
  </si>
  <si>
    <t>Weng</t>
  </si>
  <si>
    <t>Hieflau</t>
  </si>
  <si>
    <t>Lainbach</t>
  </si>
  <si>
    <t>Gams bei Hieflau</t>
  </si>
  <si>
    <t>Palfau</t>
  </si>
  <si>
    <t>Wildalpen</t>
  </si>
  <si>
    <t>Landl</t>
  </si>
  <si>
    <t>Weißenbach an der Enns</t>
  </si>
  <si>
    <t>St. Gallen</t>
  </si>
  <si>
    <t>Altenmarkt bei St. Gallen</t>
  </si>
  <si>
    <t>Liezen</t>
  </si>
  <si>
    <t>Wörschach</t>
  </si>
  <si>
    <t>Aigen im Ennstal</t>
  </si>
  <si>
    <t>Stainach</t>
  </si>
  <si>
    <t>Trautenfels</t>
  </si>
  <si>
    <t>Irdning</t>
  </si>
  <si>
    <t>Donnersbach</t>
  </si>
  <si>
    <t>St. Martin am Grimming</t>
  </si>
  <si>
    <t>Öblarn</t>
  </si>
  <si>
    <t>Stein an der Enns</t>
  </si>
  <si>
    <t>Gröbming</t>
  </si>
  <si>
    <t>Pruggern</t>
  </si>
  <si>
    <t>Aich-Assach</t>
  </si>
  <si>
    <t>Haus</t>
  </si>
  <si>
    <t>Schladming</t>
  </si>
  <si>
    <t>Rohrmoos-Untertal</t>
  </si>
  <si>
    <t>Pichl</t>
  </si>
  <si>
    <t>Mandling</t>
  </si>
  <si>
    <t>Tauplitz</t>
  </si>
  <si>
    <t>Bad Mitterndorf</t>
  </si>
  <si>
    <t>Kainisch</t>
  </si>
  <si>
    <t>Bad Aussee</t>
  </si>
  <si>
    <t>Altaussee</t>
  </si>
  <si>
    <t>Grundlsee</t>
  </si>
  <si>
    <t>Klagenfurt am Wörthersee</t>
  </si>
  <si>
    <t>K</t>
  </si>
  <si>
    <t>Klagenfurt am Wörthersee Postfach</t>
  </si>
  <si>
    <t>Klagenfurt-Wölfnitz</t>
  </si>
  <si>
    <t>Moosburg</t>
  </si>
  <si>
    <t>Maria Saal</t>
  </si>
  <si>
    <t>Pischeldorf</t>
  </si>
  <si>
    <t>Köttmannsdorf</t>
  </si>
  <si>
    <t>Ludmannsdorf</t>
  </si>
  <si>
    <t>Klagenfurt-Viktring</t>
  </si>
  <si>
    <t>Keutschach</t>
  </si>
  <si>
    <t>Reifnitz</t>
  </si>
  <si>
    <t>Maria Wörth</t>
  </si>
  <si>
    <t>Völkermarkt</t>
  </si>
  <si>
    <t>Mittertrixen</t>
  </si>
  <si>
    <t>Diex</t>
  </si>
  <si>
    <t>Pustritz</t>
  </si>
  <si>
    <t>Haimburg</t>
  </si>
  <si>
    <t>Griffen</t>
  </si>
  <si>
    <t>Ruden</t>
  </si>
  <si>
    <t>Tainach</t>
  </si>
  <si>
    <t>St. Kanzian am Klopeiner See</t>
  </si>
  <si>
    <t>St. Primus</t>
  </si>
  <si>
    <t>Kühnsdorf</t>
  </si>
  <si>
    <t>Poggersdorf</t>
  </si>
  <si>
    <t>Grafenstein</t>
  </si>
  <si>
    <t>Gallizien</t>
  </si>
  <si>
    <t>Miklauzhof</t>
  </si>
  <si>
    <t>Bad Eisenkappel</t>
  </si>
  <si>
    <t>Eberndorf</t>
  </si>
  <si>
    <t>Globasnitz</t>
  </si>
  <si>
    <t>St. Michael ob Bleiburg</t>
  </si>
  <si>
    <t>Bleiburg</t>
  </si>
  <si>
    <t>Maria Rain</t>
  </si>
  <si>
    <t>Strau</t>
  </si>
  <si>
    <t>Unterbergen</t>
  </si>
  <si>
    <t>St. Margareten im Rosental</t>
  </si>
  <si>
    <t>Feistritz im Rosental</t>
  </si>
  <si>
    <t>Maria Elend</t>
  </si>
  <si>
    <t>Rosenbach</t>
  </si>
  <si>
    <t>St. Jakob im Rosental</t>
  </si>
  <si>
    <t>Krumpendorf</t>
  </si>
  <si>
    <t>Pörtschach am Wörther See</t>
  </si>
  <si>
    <t>Techelsberg am Wörther See</t>
  </si>
  <si>
    <t>Velden am Wörther See</t>
  </si>
  <si>
    <t>Köstenberg</t>
  </si>
  <si>
    <t>Rosegg</t>
  </si>
  <si>
    <t>Lavamünd</t>
  </si>
  <si>
    <t>Villach-Warmbad Villach</t>
  </si>
  <si>
    <t>Sattendorf</t>
  </si>
  <si>
    <t>Treffen</t>
  </si>
  <si>
    <t>Villach-Landskron</t>
  </si>
  <si>
    <t>Villach-St. Magdalen</t>
  </si>
  <si>
    <t>Bad Bleiberg</t>
  </si>
  <si>
    <t>Kreuth</t>
  </si>
  <si>
    <t>Schiefling</t>
  </si>
  <si>
    <t>St. Egyden</t>
  </si>
  <si>
    <t>Einöde</t>
  </si>
  <si>
    <t>Afritz</t>
  </si>
  <si>
    <t>Feld am See</t>
  </si>
  <si>
    <t>Radenthein</t>
  </si>
  <si>
    <t>Bad Kleinkirchheim</t>
  </si>
  <si>
    <t>Bodensdorf</t>
  </si>
  <si>
    <t>Steindorf am Ossiacher See</t>
  </si>
  <si>
    <t>St. Urban</t>
  </si>
  <si>
    <t>Glanegg</t>
  </si>
  <si>
    <t>Liebenfels</t>
  </si>
  <si>
    <t>Feldkirchen in Kärnten</t>
  </si>
  <si>
    <t>Himmelberg</t>
  </si>
  <si>
    <t>Gnesau</t>
  </si>
  <si>
    <t>Patergassen</t>
  </si>
  <si>
    <t>Ebene Reichenau</t>
  </si>
  <si>
    <t>Ossiach</t>
  </si>
  <si>
    <t>Sirnitz</t>
  </si>
  <si>
    <t>Deutsch Griffen</t>
  </si>
  <si>
    <t>Villach-Drobollach am Faaker See</t>
  </si>
  <si>
    <t>Linz-Ebelsberg</t>
  </si>
  <si>
    <t>Puchenau</t>
  </si>
  <si>
    <t>Traun</t>
  </si>
  <si>
    <t>Ansfelden</t>
  </si>
  <si>
    <t>Haid</t>
  </si>
  <si>
    <t>Pucking</t>
  </si>
  <si>
    <t>Leonding</t>
  </si>
  <si>
    <t>Pasching</t>
  </si>
  <si>
    <t>Thening</t>
  </si>
  <si>
    <t>Hörsching</t>
  </si>
  <si>
    <t>Oftering</t>
  </si>
  <si>
    <t>Eferding</t>
  </si>
  <si>
    <t>Alkoven</t>
  </si>
  <si>
    <t>Wilhering</t>
  </si>
  <si>
    <t>Stroheim</t>
  </si>
  <si>
    <t>Breitenaich</t>
  </si>
  <si>
    <t>St. Marienkirchen an der Polsenz</t>
  </si>
  <si>
    <t>Hartkirchen</t>
  </si>
  <si>
    <t>Aschach an der Donau</t>
  </si>
  <si>
    <t>Spittal an der Drau</t>
  </si>
  <si>
    <t>Baldramsdorf</t>
  </si>
  <si>
    <t>Lendorf</t>
  </si>
  <si>
    <t>Pusarnitz</t>
  </si>
  <si>
    <t>Möllbrücke</t>
  </si>
  <si>
    <t>Kolbnitz</t>
  </si>
  <si>
    <t>Penk</t>
  </si>
  <si>
    <t>Mallnitz</t>
  </si>
  <si>
    <t>Flattach</t>
  </si>
  <si>
    <t>Stall</t>
  </si>
  <si>
    <t>Rangersdorf</t>
  </si>
  <si>
    <t>Winklern</t>
  </si>
  <si>
    <t>Mörtschach</t>
  </si>
  <si>
    <t>Großkirchheim</t>
  </si>
  <si>
    <t>Heiligenblut</t>
  </si>
  <si>
    <t>Lieserbrücke</t>
  </si>
  <si>
    <t>Trebesing</t>
  </si>
  <si>
    <t>Malta</t>
  </si>
  <si>
    <t>Eisentratten</t>
  </si>
  <si>
    <t>Kremsbrücke</t>
  </si>
  <si>
    <t>Rennweg</t>
  </si>
  <si>
    <t>Seeboden</t>
  </si>
  <si>
    <t>Döbriach</t>
  </si>
  <si>
    <t>Thurn</t>
  </si>
  <si>
    <t>Assling</t>
  </si>
  <si>
    <t>Anras</t>
  </si>
  <si>
    <t>Abfaltersbach</t>
  </si>
  <si>
    <t>Sillian</t>
  </si>
  <si>
    <t>Außervillgraten</t>
  </si>
  <si>
    <t>Innervillgraten</t>
  </si>
  <si>
    <t>Kartitsch</t>
  </si>
  <si>
    <t>Obertilliach</t>
  </si>
  <si>
    <t>Untertilliach</t>
  </si>
  <si>
    <t>Ainet</t>
  </si>
  <si>
    <t>Huben</t>
  </si>
  <si>
    <t>Schlaiten</t>
  </si>
  <si>
    <t>Hopfgarten in Defereggen</t>
  </si>
  <si>
    <t>St. Veit in Defereggen</t>
  </si>
  <si>
    <t>St. Jakob in Defereggen</t>
  </si>
  <si>
    <t>Matrei in Osttirol</t>
  </si>
  <si>
    <t>Virgen</t>
  </si>
  <si>
    <t>Prägraten</t>
  </si>
  <si>
    <t>Kals</t>
  </si>
  <si>
    <t>Nußdorf-Debant</t>
  </si>
  <si>
    <t>Dölsach</t>
  </si>
  <si>
    <t>Jahre</t>
  </si>
  <si>
    <t>[€]</t>
  </si>
  <si>
    <t>Lembach im Mühlkreis</t>
  </si>
  <si>
    <t>Niederkappel</t>
  </si>
  <si>
    <t>Putzleinsdorf</t>
  </si>
  <si>
    <t>Pfarrkirchen im Mühlkreis</t>
  </si>
  <si>
    <t>Hofkirchen im Mühlkreis</t>
  </si>
  <si>
    <t>Neustift im Mühlkreis</t>
  </si>
  <si>
    <t>Oberkappel</t>
  </si>
  <si>
    <t>Rohrbach in Oberösterreich</t>
  </si>
  <si>
    <t>Sarleinsbach</t>
  </si>
  <si>
    <t>Peilstein im Mühlviertel</t>
  </si>
  <si>
    <t>Kollerschlag</t>
  </si>
  <si>
    <t>Aigen im Mühlkreis</t>
  </si>
  <si>
    <t>Ulrichsberg</t>
  </si>
  <si>
    <t>Julbach</t>
  </si>
  <si>
    <t>Klaffer am Hochficht</t>
  </si>
  <si>
    <t>Schwarzenberg am Böhmerwald</t>
  </si>
  <si>
    <t>Haslach an der Mühl</t>
  </si>
  <si>
    <t>St. Peter am Wimberg</t>
  </si>
  <si>
    <t>Information:</t>
  </si>
  <si>
    <t>St. Johann am Wimberg</t>
  </si>
  <si>
    <t>St. Veit im Mühlkreis</t>
  </si>
  <si>
    <t>Niederwaldkirchen</t>
  </si>
  <si>
    <t>Herzogsdorf</t>
  </si>
  <si>
    <t>Zwettl an der Rodl</t>
  </si>
  <si>
    <t>Oberneukirchen</t>
  </si>
  <si>
    <t>Waxenberg</t>
  </si>
  <si>
    <t>Traberg</t>
  </si>
  <si>
    <t>Helfenberg</t>
  </si>
  <si>
    <t>Bad Leonfelden</t>
  </si>
  <si>
    <t>Vorderweißenbach</t>
  </si>
  <si>
    <t>Schenkenfelden</t>
  </si>
  <si>
    <t>Reichenthal</t>
  </si>
  <si>
    <t>Gramastetten</t>
  </si>
  <si>
    <t>Hellmonsödt</t>
  </si>
  <si>
    <t>Altenberg bei Linz</t>
  </si>
  <si>
    <t>Reichenau im Mühlkreis</t>
  </si>
  <si>
    <t>Engerwitzdorf</t>
  </si>
  <si>
    <t>Gallneukirchen</t>
  </si>
  <si>
    <t>Alberndorf in der Riedmark</t>
  </si>
  <si>
    <t>Neumarkt im Mühlkreis</t>
  </si>
  <si>
    <t>Steyregg</t>
  </si>
  <si>
    <t>St. Georgen an der Gusen</t>
  </si>
  <si>
    <t>Katsdorf</t>
  </si>
  <si>
    <t>Wartberg ob der Aist</t>
  </si>
  <si>
    <t>Pregarten</t>
  </si>
  <si>
    <t>Untergaisbach</t>
  </si>
  <si>
    <t>Hagenberg im Mühlkreis</t>
  </si>
  <si>
    <t>Freistadt</t>
  </si>
  <si>
    <t>Hirschbach im Mühlkreis</t>
  </si>
  <si>
    <t>Sandl</t>
  </si>
  <si>
    <t>Liebenau</t>
  </si>
  <si>
    <t>Rainbach im Mühlkreis</t>
  </si>
  <si>
    <t>Leopoldschlag</t>
  </si>
  <si>
    <t>Windhaag bei Freistadt</t>
  </si>
  <si>
    <t>Grünbach</t>
  </si>
  <si>
    <t>St. Oswald bei Freistadt</t>
  </si>
  <si>
    <t>Weitersfelden</t>
  </si>
  <si>
    <t>Unterweißenbach</t>
  </si>
  <si>
    <t>Schönau im Mühlkreis</t>
  </si>
  <si>
    <t>Königswiesen</t>
  </si>
  <si>
    <t>Mönchdorf</t>
  </si>
  <si>
    <t>Pierbach</t>
  </si>
  <si>
    <t>Bad Zell</t>
  </si>
  <si>
    <t>Tragwein</t>
  </si>
  <si>
    <t>Lasberg</t>
  </si>
  <si>
    <t>Kefermarkt</t>
  </si>
  <si>
    <t>Gutau</t>
  </si>
  <si>
    <t>St. Leonhard bei Freistadt</t>
  </si>
  <si>
    <t>St. Valentin</t>
  </si>
  <si>
    <t>St. Pantaleon</t>
  </si>
  <si>
    <t>Mauthausen</t>
  </si>
  <si>
    <t>Schwertberg</t>
  </si>
  <si>
    <t>Ried in der Riedmark</t>
  </si>
  <si>
    <t>Perg</t>
  </si>
  <si>
    <t>Windhaag bei Perg</t>
  </si>
  <si>
    <t>Münzbach</t>
  </si>
  <si>
    <t>Rechberg</t>
  </si>
  <si>
    <t>Naarn</t>
  </si>
  <si>
    <t>Au an der Donau</t>
  </si>
  <si>
    <t>Arbing</t>
  </si>
  <si>
    <t>Baumgartenberg</t>
  </si>
  <si>
    <t>Mitterkirchen</t>
  </si>
  <si>
    <t>Saxen</t>
  </si>
  <si>
    <t>Klam</t>
  </si>
  <si>
    <t>Grein</t>
  </si>
  <si>
    <t>Bad Kreuzen</t>
  </si>
  <si>
    <t>Pabneukirchen</t>
  </si>
  <si>
    <t>St. Thomas</t>
  </si>
  <si>
    <t>Dimbach</t>
  </si>
  <si>
    <t>St. Georgen am Walde</t>
  </si>
  <si>
    <t>St. Nikola an der Donau</t>
  </si>
  <si>
    <t>Sarmingstein</t>
  </si>
  <si>
    <t>Waldhausen im Strudengau</t>
  </si>
  <si>
    <t>Dorfstetten</t>
  </si>
  <si>
    <t>Steyr</t>
  </si>
  <si>
    <t>Steyr Postfach</t>
  </si>
  <si>
    <t>Steyr-Münichholz</t>
  </si>
  <si>
    <t>Steyr-Gleink</t>
  </si>
  <si>
    <t>Christkindl</t>
  </si>
  <si>
    <t>Aschach an der Steyr</t>
  </si>
  <si>
    <t>Haidershofen</t>
  </si>
  <si>
    <t>Ernsthofen</t>
  </si>
  <si>
    <t>Behamberg</t>
  </si>
  <si>
    <t>Kleinraming</t>
  </si>
  <si>
    <t>Maria Neustift</t>
  </si>
  <si>
    <t>Garsten</t>
  </si>
  <si>
    <t>Ternberg</t>
  </si>
  <si>
    <t>Losenstein</t>
  </si>
  <si>
    <t>Laussa</t>
  </si>
  <si>
    <t>Großraming</t>
  </si>
  <si>
    <t>Kleinreifling</t>
  </si>
  <si>
    <t>Enns</t>
  </si>
  <si>
    <t>Asten</t>
  </si>
  <si>
    <t>Ennsdorf</t>
  </si>
  <si>
    <t>Hargelsberg</t>
  </si>
  <si>
    <t>Kronstorf</t>
  </si>
  <si>
    <t>St. Florian</t>
  </si>
  <si>
    <t>Niederneukirchen</t>
  </si>
  <si>
    <t>Hofkirchen im Traunkreis</t>
  </si>
  <si>
    <t>Wolfern</t>
  </si>
  <si>
    <t>Neuhofen an der Krems</t>
  </si>
  <si>
    <t>St. Marien</t>
  </si>
  <si>
    <t>Allhaming</t>
  </si>
  <si>
    <t>Schiedlberg</t>
  </si>
  <si>
    <t>Sierning</t>
  </si>
  <si>
    <t>Neuzeug</t>
  </si>
  <si>
    <t>Kematen an der Krems</t>
  </si>
  <si>
    <t>Rohr im Kremstal</t>
  </si>
  <si>
    <t>Piberbach</t>
  </si>
  <si>
    <t>Bad Hall</t>
  </si>
  <si>
    <t>Adlwang</t>
  </si>
  <si>
    <t>Nußbach</t>
  </si>
  <si>
    <t>Ried im Traunkreis</t>
  </si>
  <si>
    <t>Wartberg an der Krems</t>
  </si>
  <si>
    <t>Schlierbach</t>
  </si>
  <si>
    <t>Kirchdorf an der Krems</t>
  </si>
  <si>
    <t>Steinbach am Ziehberg</t>
  </si>
  <si>
    <t>Micheldorf</t>
  </si>
  <si>
    <t>Klaus an der Pyhrnbahn</t>
  </si>
  <si>
    <t>Steyrling</t>
  </si>
  <si>
    <t>St. Pankraz</t>
  </si>
  <si>
    <t>Hinterstoder</t>
  </si>
  <si>
    <t>Vorderstoder</t>
  </si>
  <si>
    <t>Roßleithen</t>
  </si>
  <si>
    <t>Windischgarsten</t>
  </si>
  <si>
    <t>Rosenau am Hengstpaß</t>
  </si>
  <si>
    <t>Spital am Pyhrn</t>
  </si>
  <si>
    <t>Molln</t>
  </si>
  <si>
    <t>Leonstein</t>
  </si>
  <si>
    <t>Obergrünburg</t>
  </si>
  <si>
    <t>Grünburg</t>
  </si>
  <si>
    <t>Waldneukirchen</t>
  </si>
  <si>
    <t>Maria Enzersdorf-Südstadt</t>
  </si>
  <si>
    <t>Wiener Neudorf</t>
  </si>
  <si>
    <t>Guntramsdorf</t>
  </si>
  <si>
    <t>Laxenburg</t>
  </si>
  <si>
    <t>Biedermannsdorf</t>
  </si>
  <si>
    <t>Hinterbrühl</t>
  </si>
  <si>
    <t>Gießhübl</t>
  </si>
  <si>
    <t>Perchtoldsdorf</t>
  </si>
  <si>
    <t>Laab im Walde</t>
  </si>
  <si>
    <t>Breitenfurt bei Wien</t>
  </si>
  <si>
    <t>Kaltenleutgeben</t>
  </si>
  <si>
    <t>Sulz im Wienerwald</t>
  </si>
  <si>
    <t>Sittendorf</t>
  </si>
  <si>
    <t>Fischamend</t>
  </si>
  <si>
    <t>Maria Ellend</t>
  </si>
  <si>
    <t>Regelsbrunn</t>
  </si>
  <si>
    <t>Petronell</t>
  </si>
  <si>
    <t>Bad Deutsch Altenburg</t>
  </si>
  <si>
    <t>Hainburg an der Donau</t>
  </si>
  <si>
    <t>Wolfsthal</t>
  </si>
  <si>
    <t>Berg</t>
  </si>
  <si>
    <t>Kittsee</t>
  </si>
  <si>
    <t>B</t>
  </si>
  <si>
    <t>Pama</t>
  </si>
  <si>
    <t>Deutsch Jahrndorf</t>
  </si>
  <si>
    <t>Zurndorf</t>
  </si>
  <si>
    <t>Nickelsdorf</t>
  </si>
  <si>
    <t>Kleinneusiedl</t>
  </si>
  <si>
    <t>Schwadorf</t>
  </si>
  <si>
    <t>Margarethen am Moos</t>
  </si>
  <si>
    <t>Götzendorf an der Leitha</t>
  </si>
  <si>
    <t>Ebergassing</t>
  </si>
  <si>
    <t>Gramatneusiedl</t>
  </si>
  <si>
    <t>Mitterndorf an der Fischa</t>
  </si>
  <si>
    <t>Unterwaltersdorf</t>
  </si>
  <si>
    <t>Deutsch Brodersdorf</t>
  </si>
  <si>
    <t>Seibersdorf</t>
  </si>
  <si>
    <t>Hof am Leithaberge</t>
  </si>
  <si>
    <t>Mannersdorf am Leithagebirge</t>
  </si>
  <si>
    <t>Sommerein</t>
  </si>
  <si>
    <t>Trautmannsdorf an der Leitha</t>
  </si>
  <si>
    <t>Bruck an der Leitha</t>
  </si>
  <si>
    <t>Wilfleinsdorf</t>
  </si>
  <si>
    <t>Stixneusiedl</t>
  </si>
  <si>
    <t>Göttlesbrunn</t>
  </si>
  <si>
    <t>Höflein</t>
  </si>
  <si>
    <t>Rohrau</t>
  </si>
  <si>
    <t>Außerdem gibt es folgende Förderung:</t>
  </si>
  <si>
    <t>Prellenkirchen</t>
  </si>
  <si>
    <t>1 - 3</t>
  </si>
  <si>
    <t>Potzneusiedl</t>
  </si>
  <si>
    <t>Gattendorf</t>
  </si>
  <si>
    <t>Neudorf</t>
  </si>
  <si>
    <t>Achau</t>
  </si>
  <si>
    <t>Münchendorf</t>
  </si>
  <si>
    <t>Ebreichsdorf</t>
  </si>
  <si>
    <t>Wampersdorf</t>
  </si>
  <si>
    <t>Pottendorf</t>
  </si>
  <si>
    <t>Ebenfurth</t>
  </si>
  <si>
    <t>Neufeld an der Leitha</t>
  </si>
  <si>
    <t>Eggendorf</t>
  </si>
  <si>
    <t>Lichtenwörth-Nadelburg</t>
  </si>
  <si>
    <t>Baden</t>
  </si>
  <si>
    <t>Baden-Leesdorf</t>
  </si>
  <si>
    <t>Pfaffstätten</t>
  </si>
  <si>
    <t>Tribuswinkel</t>
  </si>
  <si>
    <t>Möllersdorf</t>
  </si>
  <si>
    <t>Traiskirchen</t>
  </si>
  <si>
    <t>Trumau</t>
  </si>
  <si>
    <t>Oberwaltersdorf</t>
  </si>
  <si>
    <t>Tattendorf</t>
  </si>
  <si>
    <t>Teesdorf</t>
  </si>
  <si>
    <t>Günselsdorf</t>
  </si>
  <si>
    <t>Gaaden</t>
  </si>
  <si>
    <t>Heiligenkreuz</t>
  </si>
  <si>
    <t>Klausen-Leopoldsdorf</t>
  </si>
  <si>
    <t>Alland</t>
  </si>
  <si>
    <t>Bad Vöslau</t>
  </si>
  <si>
    <t>Kottingbrunn</t>
  </si>
  <si>
    <t>Leobersdorf</t>
  </si>
  <si>
    <t>Enzesfeld-Lindabrunn</t>
  </si>
  <si>
    <t>Hirtenberg</t>
  </si>
  <si>
    <t>Berndorf</t>
  </si>
  <si>
    <t>Berndorf, Niederösterreich</t>
  </si>
  <si>
    <t>Pottenstein</t>
  </si>
  <si>
    <t>Weissenbach an der Triesting</t>
  </si>
  <si>
    <t>Neuhaus</t>
  </si>
  <si>
    <t>Altenmarkt-Thenneberg</t>
  </si>
  <si>
    <t>Kaumberg</t>
  </si>
  <si>
    <t>Sollenau</t>
  </si>
  <si>
    <t>Blumau-Neurißhof</t>
  </si>
  <si>
    <t>Felixdorf</t>
  </si>
  <si>
    <t>Theresienfeld</t>
  </si>
  <si>
    <t>Neunkirchen</t>
  </si>
  <si>
    <t>Neunkirchen, Niederösterreich</t>
  </si>
  <si>
    <t>Breitenau</t>
  </si>
  <si>
    <t>Schwarzau am Steinfelde</t>
  </si>
  <si>
    <t>Ternitz</t>
  </si>
  <si>
    <t>Sieding-Stixenstein</t>
  </si>
  <si>
    <t>Wimpassing im Schwarzatale</t>
  </si>
  <si>
    <t>Gloggnitz</t>
  </si>
  <si>
    <t>Schottwien</t>
  </si>
  <si>
    <t>Maria Schutz</t>
  </si>
  <si>
    <t>Payerbach</t>
  </si>
  <si>
    <t>Reichenau an der Rax</t>
  </si>
  <si>
    <t>Prein an der Rax</t>
  </si>
  <si>
    <t>Naßwald</t>
  </si>
  <si>
    <t>Schwarzau im Gebirge</t>
  </si>
  <si>
    <t>Rohr im Gebirge</t>
  </si>
  <si>
    <t>Küb</t>
  </si>
  <si>
    <t>Breitenstein</t>
  </si>
  <si>
    <t>Semmering</t>
  </si>
  <si>
    <t>Bad Fischau</t>
  </si>
  <si>
    <t>Winzendorf</t>
  </si>
  <si>
    <t>Muthmannsdorf</t>
  </si>
  <si>
    <t>Hohe Wand-Stollhof</t>
  </si>
  <si>
    <t>St. Egyden am Steinfeld</t>
  </si>
  <si>
    <t>Willendorf</t>
  </si>
  <si>
    <t>Grünbach am Schneeberg</t>
  </si>
  <si>
    <t>Puchberg am Schneeberg</t>
  </si>
  <si>
    <t>Steinabrückl</t>
  </si>
  <si>
    <t>Wöllersdorf</t>
  </si>
  <si>
    <t>Markt Piesting</t>
  </si>
  <si>
    <t>Waldegg</t>
  </si>
  <si>
    <t>Oed</t>
  </si>
  <si>
    <t>Miesenbach</t>
  </si>
  <si>
    <t>Pernitz</t>
  </si>
  <si>
    <t>Gutenstein</t>
  </si>
  <si>
    <t>Katzelsdorf</t>
  </si>
  <si>
    <t>Hochwolkersdorf</t>
  </si>
  <si>
    <t>Schwarzenbach</t>
  </si>
  <si>
    <t>Wiesmath</t>
  </si>
  <si>
    <t>Hollenthon</t>
  </si>
  <si>
    <t>Lichtenegg</t>
  </si>
  <si>
    <t>Lanzenkirchen</t>
  </si>
  <si>
    <t>Bad Erlach</t>
  </si>
  <si>
    <t>Pitten</t>
  </si>
  <si>
    <t>Seebenstein</t>
  </si>
  <si>
    <t>Warth</t>
  </si>
  <si>
    <t>Thernberg</t>
  </si>
  <si>
    <t>Bromberg</t>
  </si>
  <si>
    <t>Grimmenstein</t>
  </si>
  <si>
    <t>Edlitz</t>
  </si>
  <si>
    <t>Krumbach</t>
  </si>
  <si>
    <t>Hochneukirchen</t>
  </si>
  <si>
    <t>Bad Schönau</t>
  </si>
  <si>
    <t>Kirchschlag in der Buckligen Welt</t>
  </si>
  <si>
    <t>Aspang</t>
  </si>
  <si>
    <t>Zöbern</t>
  </si>
  <si>
    <t>Feistritz am Wechsel</t>
  </si>
  <si>
    <t>Kirchberg am Wechsel</t>
  </si>
  <si>
    <t>Trattenbach</t>
  </si>
  <si>
    <t>Mauerbach</t>
  </si>
  <si>
    <t>Purkersdorf</t>
  </si>
  <si>
    <t>Gablitz</t>
  </si>
  <si>
    <t>Ried am Riederberg</t>
  </si>
  <si>
    <t>Untertullnerbach</t>
  </si>
  <si>
    <t>Wolfsgraben</t>
  </si>
  <si>
    <t>Tullnerbach-Lawies</t>
  </si>
  <si>
    <t>Pressbaum</t>
  </si>
  <si>
    <t>Rekawinkel</t>
  </si>
  <si>
    <t>Eichgraben</t>
  </si>
  <si>
    <t>Altlengbach</t>
  </si>
  <si>
    <t>Maria Anzbach</t>
  </si>
  <si>
    <t>Neulengbach</t>
  </si>
  <si>
    <t>Asperhofen</t>
  </si>
  <si>
    <t>Würmla</t>
  </si>
  <si>
    <t>St. Christophen</t>
  </si>
  <si>
    <t>Innermanzing</t>
  </si>
  <si>
    <t>Laaben</t>
  </si>
  <si>
    <t>Ollersbach</t>
  </si>
  <si>
    <t>Kirchstetten</t>
  </si>
  <si>
    <t>Böheimkirchen</t>
  </si>
  <si>
    <t>Kasten bei Böheimkirchen</t>
  </si>
  <si>
    <t>Stössing</t>
  </si>
  <si>
    <t>Michelbach</t>
  </si>
  <si>
    <t>St. Pölten Postfach</t>
  </si>
  <si>
    <t>St. Pölten-Harland</t>
  </si>
  <si>
    <t>St. Pölten-Radlberg</t>
  </si>
  <si>
    <t>St. Pölten-Spratzern</t>
  </si>
  <si>
    <t>St. Pölten-Traisenpark</t>
  </si>
  <si>
    <t>St. Pölten-Wagram</t>
  </si>
  <si>
    <t>Neidling</t>
  </si>
  <si>
    <t>Karlstetten</t>
  </si>
  <si>
    <t>Gansbach</t>
  </si>
  <si>
    <t>Obritzberg</t>
  </si>
  <si>
    <t>Oberwölbling</t>
  </si>
  <si>
    <t>Statzendorf</t>
  </si>
  <si>
    <t>Herzogenburg</t>
  </si>
  <si>
    <t>[kWh/a]</t>
  </si>
  <si>
    <t>Getzersdorf</t>
  </si>
  <si>
    <t>Traismauer</t>
  </si>
  <si>
    <t>Nußdorf</t>
  </si>
  <si>
    <t>Pottenbrunn</t>
  </si>
  <si>
    <t>Kapelln</t>
  </si>
  <si>
    <t>Perschling</t>
  </si>
  <si>
    <t>Pyhra</t>
  </si>
  <si>
    <t>Wald</t>
  </si>
  <si>
    <t>Wilhelmsburg</t>
  </si>
  <si>
    <t>St. Georgen am Steinfelde</t>
  </si>
  <si>
    <t>Eschenau</t>
  </si>
  <si>
    <t>Traisen</t>
  </si>
  <si>
    <t>Allhartsberg</t>
  </si>
  <si>
    <t>Ybbs an der Donau</t>
  </si>
  <si>
    <t>Neumarkt an der Ybbs</t>
  </si>
  <si>
    <t>Blindenmarkt</t>
  </si>
  <si>
    <t>Kemmelbach</t>
  </si>
  <si>
    <t>Säusenstein</t>
  </si>
  <si>
    <t>Krummnußbaum</t>
  </si>
  <si>
    <t>Pöchlarn</t>
  </si>
  <si>
    <t>Golling</t>
  </si>
  <si>
    <t>Hürm</t>
  </si>
  <si>
    <t>Groß Sierning</t>
  </si>
  <si>
    <t>Prinzersdorf</t>
  </si>
  <si>
    <t>Hafnerbach</t>
  </si>
  <si>
    <t>Melk</t>
  </si>
  <si>
    <t>Schönbühel an der Donau</t>
  </si>
  <si>
    <t>Matzleinsdorf</t>
  </si>
  <si>
    <t>Klosterneuburg</t>
  </si>
  <si>
    <t>Weidling</t>
  </si>
  <si>
    <t>Kierling</t>
  </si>
  <si>
    <t>Hintersdorf</t>
  </si>
  <si>
    <t>Kritzendorf</t>
  </si>
  <si>
    <t>Höflein an der Donau</t>
  </si>
  <si>
    <t>Greifenstein</t>
  </si>
  <si>
    <t>St. Andrä-Wördern</t>
  </si>
  <si>
    <t>Zeiselmauer</t>
  </si>
  <si>
    <t>Langenlebarn</t>
  </si>
  <si>
    <t>Tulln an der Donau</t>
  </si>
  <si>
    <t>Königstetten</t>
  </si>
  <si>
    <t>Tulbing</t>
  </si>
  <si>
    <t>Zwentendorf an der Donau</t>
  </si>
  <si>
    <t>Judenau</t>
  </si>
  <si>
    <t>Langenrohr</t>
  </si>
  <si>
    <t>Sieghartskirchen</t>
  </si>
  <si>
    <t>Michelhausen</t>
  </si>
  <si>
    <t>Atzenbrugg</t>
  </si>
  <si>
    <t>Sitzenberg-Reidling</t>
  </si>
  <si>
    <t>Absdorf</t>
  </si>
  <si>
    <t>Stetteldorf am Wagram</t>
  </si>
  <si>
    <t>Hausleiten</t>
  </si>
  <si>
    <t>Königsbrunn am Wagram</t>
  </si>
  <si>
    <t>Kirchberg am Wagram</t>
  </si>
  <si>
    <t>Großriedenthal</t>
  </si>
  <si>
    <t>Hohenwarth</t>
  </si>
  <si>
    <t>Mühlbach am Manhartsberg</t>
  </si>
  <si>
    <t>Niederösterreich</t>
  </si>
  <si>
    <t>Burgenland</t>
  </si>
  <si>
    <t>Altenwörth</t>
  </si>
  <si>
    <t/>
  </si>
  <si>
    <t>Fels am Wagram</t>
  </si>
  <si>
    <t>Gösing am Wagram</t>
  </si>
  <si>
    <t>Feuersbrunn</t>
  </si>
  <si>
    <t>Grafenwörth</t>
  </si>
  <si>
    <t>Haitzendorf</t>
  </si>
  <si>
    <t>Straß im Straßertale</t>
  </si>
  <si>
    <t>Etsdorf am Kamp</t>
  </si>
  <si>
    <t>Hadersdorf am Kamp</t>
  </si>
  <si>
    <t>Gedersdorf</t>
  </si>
  <si>
    <t>Rohrendorf bei Krems</t>
  </si>
  <si>
    <t>Krems an der Donau</t>
  </si>
  <si>
    <t>Krems-Lerchenfeld</t>
  </si>
  <si>
    <t>Krems-Stein</t>
  </si>
  <si>
    <t>Krems-Hollenburg</t>
  </si>
  <si>
    <t>Krems-Mitterau</t>
  </si>
  <si>
    <t>Paudorf</t>
  </si>
  <si>
    <t>Furth bei Göttweig</t>
  </si>
  <si>
    <t>Mautern</t>
  </si>
  <si>
    <t>Obermeisling</t>
  </si>
  <si>
    <t>Lichtenau</t>
  </si>
  <si>
    <t>Grainbrunn</t>
  </si>
  <si>
    <t>Sallingberg</t>
  </si>
  <si>
    <t>Landesförderungen:</t>
  </si>
  <si>
    <t>Bundesförderungen:</t>
  </si>
  <si>
    <t>Niedernondorf</t>
  </si>
  <si>
    <t>Rastenfeld</t>
  </si>
  <si>
    <t>Friedersbach</t>
  </si>
  <si>
    <t>Senftenberg</t>
  </si>
  <si>
    <t>Gföhl</t>
  </si>
  <si>
    <t>Krumau am Kamp</t>
  </si>
  <si>
    <t>Idolsberg</t>
  </si>
  <si>
    <t>Langenlois</t>
  </si>
  <si>
    <t>Lengenfeld</t>
  </si>
  <si>
    <t>Schiltern</t>
  </si>
  <si>
    <t>Zöbing</t>
  </si>
  <si>
    <t>Schönberg</t>
  </si>
  <si>
    <t>Plank am Kamp</t>
  </si>
  <si>
    <t>Gars am Kamp</t>
  </si>
  <si>
    <t>St. Leonhard am Hornerwald</t>
  </si>
  <si>
    <t>Rosenburg</t>
  </si>
  <si>
    <t>Horn</t>
  </si>
  <si>
    <t>Altenburg</t>
  </si>
  <si>
    <t>Röhrenbach</t>
  </si>
  <si>
    <t>Neupölla</t>
  </si>
  <si>
    <t>Franzen</t>
  </si>
  <si>
    <t>Brunn an der Wild</t>
  </si>
  <si>
    <t>Dürnstein</t>
  </si>
  <si>
    <t>Rossatz</t>
  </si>
  <si>
    <t>Weißenkirchen in der Wachau</t>
  </si>
  <si>
    <t>Großheinrichschlag</t>
  </si>
  <si>
    <t>Kirchberg bei Mattighofen</t>
  </si>
  <si>
    <t>Pischelsdorf am Engelbach</t>
  </si>
  <si>
    <t>Maria Schmolln</t>
  </si>
  <si>
    <t>St. Johann am Walde</t>
  </si>
  <si>
    <t>Höhnhart</t>
  </si>
  <si>
    <t>Aspach</t>
  </si>
  <si>
    <t>Uttendorf</t>
  </si>
  <si>
    <t>Mauerkirchen</t>
  </si>
  <si>
    <t>Moosbach</t>
  </si>
  <si>
    <t>Treubach</t>
  </si>
  <si>
    <t>Roßbach</t>
  </si>
  <si>
    <t>Burgkirchen</t>
  </si>
  <si>
    <t>Braunau am Inn</t>
  </si>
  <si>
    <t>Braunau</t>
  </si>
  <si>
    <t>Hallwang</t>
  </si>
  <si>
    <t>Eugendorf</t>
  </si>
  <si>
    <t>Henndorf am Wallersee</t>
  </si>
  <si>
    <t>Thalgau</t>
  </si>
  <si>
    <t>Loibichl</t>
  </si>
  <si>
    <t>Koppl</t>
  </si>
  <si>
    <t>Hof bei Salzburg</t>
  </si>
  <si>
    <t>Ebenau</t>
  </si>
  <si>
    <t>Faistenau</t>
  </si>
  <si>
    <t>Plainfeld</t>
  </si>
  <si>
    <t>Fuschl am See</t>
  </si>
  <si>
    <t>St. Gilgen</t>
  </si>
  <si>
    <t>Abersee</t>
  </si>
  <si>
    <t>Strobl</t>
  </si>
  <si>
    <t>Aigen-Voglhub</t>
  </si>
  <si>
    <t>St. Wolfgang im Salzkammergut</t>
  </si>
  <si>
    <t>Hallein</t>
  </si>
  <si>
    <t>Oberalm</t>
  </si>
  <si>
    <t>Puch bei Hallein</t>
  </si>
  <si>
    <t>Adnet</t>
  </si>
  <si>
    <t>Heilbad Dürrnberg</t>
  </si>
  <si>
    <t>St. Koloman</t>
  </si>
  <si>
    <t>Bad Vigaun</t>
  </si>
  <si>
    <t>Kuchl</t>
  </si>
  <si>
    <t>Golling an der Salzach</t>
  </si>
  <si>
    <t>Abtenau</t>
  </si>
  <si>
    <t>Rußbach am Paß Gschütt</t>
  </si>
  <si>
    <t>Werfen</t>
  </si>
  <si>
    <t>Tenneck</t>
  </si>
  <si>
    <t>Pfarrwerfen</t>
  </si>
  <si>
    <t>Werfenweng</t>
  </si>
  <si>
    <t>Bischofshofen</t>
  </si>
  <si>
    <t>Mühlbach am Hochkönig</t>
  </si>
  <si>
    <t>Hüttau</t>
  </si>
  <si>
    <t>Niedernfritz</t>
  </si>
  <si>
    <t>St. Martin am Tennengebirge</t>
  </si>
  <si>
    <t>Lungötz</t>
  </si>
  <si>
    <t>Eben im Pongau</t>
  </si>
  <si>
    <t>Filzmoos</t>
  </si>
  <si>
    <t>Altenmarkt im Pongau</t>
  </si>
  <si>
    <t>Flachau</t>
  </si>
  <si>
    <t>Radstadt</t>
  </si>
  <si>
    <t>Anlagengröße</t>
  </si>
  <si>
    <t>€/kWp</t>
  </si>
  <si>
    <t>kWp</t>
  </si>
  <si>
    <t>Förderung für Kärnten</t>
  </si>
  <si>
    <t>Förderung für Niederösterreich</t>
  </si>
  <si>
    <t>Förderung für Oberösterreich</t>
  </si>
  <si>
    <t>Förderung für Steiermark</t>
  </si>
  <si>
    <t>Förderung für Wien</t>
  </si>
  <si>
    <t>Innsbruck-Igls</t>
  </si>
  <si>
    <t>Patsch</t>
  </si>
  <si>
    <t>Ellbögen</t>
  </si>
  <si>
    <t>Götzens</t>
  </si>
  <si>
    <t>Birgitz</t>
  </si>
  <si>
    <t>Axams</t>
  </si>
  <si>
    <t>Grinzens</t>
  </si>
  <si>
    <t>Seefeld in Tirol</t>
  </si>
  <si>
    <t>Reith bei Seefeld</t>
  </si>
  <si>
    <t>Leutasch</t>
  </si>
  <si>
    <t>Scharnitz</t>
  </si>
  <si>
    <t>Volders</t>
  </si>
  <si>
    <t>Wattens</t>
  </si>
  <si>
    <t>Wattenberg</t>
  </si>
  <si>
    <t>Kolsass</t>
  </si>
  <si>
    <t>Kolsassberg</t>
  </si>
  <si>
    <t>Baumkirchen</t>
  </si>
  <si>
    <t>Fritzens</t>
  </si>
  <si>
    <t>Terfens</t>
  </si>
  <si>
    <t>Schwaz</t>
  </si>
  <si>
    <t>Weerberg</t>
  </si>
  <si>
    <t>Vomp</t>
  </si>
  <si>
    <t>Stans</t>
  </si>
  <si>
    <t>Schönberg im Stubaital</t>
  </si>
  <si>
    <t>Mieders</t>
  </si>
  <si>
    <t>Matrei am Brenner</t>
  </si>
  <si>
    <t>Navis</t>
  </si>
  <si>
    <t>Dobersdorf</t>
  </si>
  <si>
    <t>Rudersdorf</t>
  </si>
  <si>
    <t>Deutsch Kaltenbrunn</t>
  </si>
  <si>
    <t>Graz Postfach</t>
  </si>
  <si>
    <t>Graz-Liebenau</t>
  </si>
  <si>
    <t>Graz-St. Peter</t>
  </si>
  <si>
    <t>Graz-Kroisbach</t>
  </si>
  <si>
    <t>Graz-Mariatrost</t>
  </si>
  <si>
    <t>Graz-Andritz</t>
  </si>
  <si>
    <t>Graz-St. Veit</t>
  </si>
  <si>
    <t>Graz-Ragnitz</t>
  </si>
  <si>
    <t>Graz-Gösting</t>
  </si>
  <si>
    <t>Graz-Wetzelsdorf</t>
  </si>
  <si>
    <t>Graz-Neuhart</t>
  </si>
  <si>
    <t>Graz-Straßgang</t>
  </si>
  <si>
    <t>Graz-Puntigam</t>
  </si>
  <si>
    <t>Förderung für Burgenland</t>
  </si>
  <si>
    <t>St. Radegund bei Graz</t>
  </si>
  <si>
    <t>Kumberg</t>
  </si>
  <si>
    <t>Eggersdorf bei Graz</t>
  </si>
  <si>
    <t>Hausmannstätten</t>
  </si>
  <si>
    <t>Fernitz</t>
  </si>
  <si>
    <t>Feldkirchen bei Graz</t>
  </si>
  <si>
    <t>Raaba</t>
  </si>
  <si>
    <t>Hart bei Graz</t>
  </si>
  <si>
    <t>Heiligenkreuz am Waasen</t>
  </si>
  <si>
    <t>Kirchbach in Steiermark</t>
  </si>
  <si>
    <t>St. Stefan im Rosental</t>
  </si>
  <si>
    <t>Jagerberg</t>
  </si>
  <si>
    <t>Mettersdorf am Saßbach</t>
  </si>
  <si>
    <t>St. Peter am Ottersbach</t>
  </si>
  <si>
    <t>Gratkorn</t>
  </si>
  <si>
    <t>Semriach</t>
  </si>
  <si>
    <t>Rein</t>
  </si>
  <si>
    <t>Judendorf-Straßengel</t>
  </si>
  <si>
    <t>Gratwein</t>
  </si>
  <si>
    <t>St. Oswald bei Plankenwarth</t>
  </si>
  <si>
    <t>Stübing</t>
  </si>
  <si>
    <t>Peggau</t>
  </si>
  <si>
    <t>Deutschfeistritz</t>
  </si>
  <si>
    <t>Waldstein</t>
  </si>
  <si>
    <t>Übelbach</t>
  </si>
  <si>
    <t>Frohnleiten</t>
  </si>
  <si>
    <t>Mixnitz</t>
  </si>
  <si>
    <t>Pernegg an der Mur</t>
  </si>
  <si>
    <t>Unterpremstätten</t>
  </si>
  <si>
    <t>Wundschuh</t>
  </si>
  <si>
    <t>Dobl</t>
  </si>
  <si>
    <t>Tobelbad</t>
  </si>
  <si>
    <t>Hitzendorf</t>
  </si>
  <si>
    <t>Stallhofen</t>
  </si>
  <si>
    <t>Geistthal</t>
  </si>
  <si>
    <t>Weiz</t>
  </si>
  <si>
    <t>Passail</t>
  </si>
  <si>
    <t>Fladnitz an der Teichalm</t>
  </si>
  <si>
    <t>St. Kathrein am Offenegg</t>
  </si>
  <si>
    <t>Heilbrunn</t>
  </si>
  <si>
    <t>St. Ruprecht an der Raab</t>
  </si>
  <si>
    <t>Puch bei Weiz</t>
  </si>
  <si>
    <t>Floing</t>
  </si>
  <si>
    <t>Anger</t>
  </si>
  <si>
    <t>Birkfeld</t>
  </si>
  <si>
    <t>Koglhof</t>
  </si>
  <si>
    <t>Strallegg</t>
  </si>
  <si>
    <t>Gleisdorf</t>
  </si>
  <si>
    <t>Großpesendorf</t>
  </si>
  <si>
    <t>Pischelsdorf in der Steiermark</t>
  </si>
  <si>
    <t>Hirnsdorf</t>
  </si>
  <si>
    <t>St. Johann bei Herberstein</t>
  </si>
  <si>
    <t>Stubenberg am See</t>
  </si>
  <si>
    <t>Kaindorf bei Hartberg</t>
  </si>
  <si>
    <t>Pöllau bei Hartberg</t>
  </si>
  <si>
    <t>Hartberg</t>
  </si>
  <si>
    <t>Grafendorf bei Hartberg</t>
  </si>
  <si>
    <t>Lafnitz</t>
  </si>
  <si>
    <t>Rohrbach an der Lafnitz</t>
  </si>
  <si>
    <t>Friedberg</t>
  </si>
  <si>
    <t>Dechantskirchen</t>
  </si>
  <si>
    <t>St. Lorenzen am Wechsel</t>
  </si>
  <si>
    <t>Pinggau</t>
  </si>
  <si>
    <t>Schäffern</t>
  </si>
  <si>
    <t>Vorau</t>
  </si>
  <si>
    <t>Bruck an der Lafnitz</t>
  </si>
  <si>
    <t>Mönichwald</t>
  </si>
  <si>
    <t>Waldbach</t>
  </si>
  <si>
    <t>Wenigzell</t>
  </si>
  <si>
    <t>Jan. 02</t>
  </si>
  <si>
    <t>Mar.02</t>
  </si>
  <si>
    <t>May 02</t>
  </si>
  <si>
    <t>Oct.02</t>
  </si>
  <si>
    <t>Dec.02</t>
  </si>
  <si>
    <t>Jan. 03</t>
  </si>
  <si>
    <t>Mar.03</t>
  </si>
  <si>
    <t>May 03</t>
  </si>
  <si>
    <t>Oct.03</t>
  </si>
  <si>
    <t>Dec.03</t>
  </si>
  <si>
    <t>Jan. 04</t>
  </si>
  <si>
    <t>Mar.04</t>
  </si>
  <si>
    <t>May 04</t>
  </si>
  <si>
    <t>Oct.04</t>
  </si>
  <si>
    <t>Dec. 04</t>
  </si>
  <si>
    <t>Jan. 05</t>
  </si>
  <si>
    <t>Mar. 05</t>
  </si>
  <si>
    <t>May 05</t>
  </si>
  <si>
    <t>June 05</t>
  </si>
  <si>
    <t>July 05</t>
  </si>
  <si>
    <t>Oct. 05</t>
  </si>
  <si>
    <t>Dec. 05</t>
  </si>
  <si>
    <t>http://www.esv.or.at/foerderungen/oekostrom/photovoltaik/</t>
  </si>
  <si>
    <t>Jan 06</t>
  </si>
  <si>
    <t>Mar. 06</t>
  </si>
  <si>
    <t>May 06</t>
  </si>
  <si>
    <t>Oct. 06</t>
  </si>
  <si>
    <t>Dec. 06</t>
  </si>
  <si>
    <t>Jan. 07</t>
  </si>
  <si>
    <t>Mar. 07</t>
  </si>
  <si>
    <t>May  07</t>
  </si>
  <si>
    <t>June 07</t>
  </si>
  <si>
    <t>July 07</t>
  </si>
  <si>
    <t>Oct. 07</t>
  </si>
  <si>
    <t>Jan. 08</t>
  </si>
  <si>
    <t>March 08</t>
  </si>
  <si>
    <t>Jan. 09</t>
  </si>
  <si>
    <t>Jan 07</t>
  </si>
  <si>
    <t>Dec. 08</t>
  </si>
  <si>
    <t>Stromnetz Steiermark GmbH</t>
  </si>
  <si>
    <t>Energie AG</t>
  </si>
  <si>
    <t>Salzburg AG</t>
  </si>
  <si>
    <t>KELAG Netz</t>
  </si>
  <si>
    <t>BEWAG</t>
  </si>
  <si>
    <t>Linz Strom</t>
  </si>
  <si>
    <t>VKW</t>
  </si>
  <si>
    <t>EVN</t>
  </si>
  <si>
    <t>Wien Energie Stromnetz GmbH</t>
  </si>
  <si>
    <t>Stromnetz Graz GmbH &amp; Co KG</t>
  </si>
  <si>
    <t>Tiwag</t>
  </si>
  <si>
    <t>IKB</t>
  </si>
  <si>
    <t>Energie Klagenfurt GmbH</t>
  </si>
  <si>
    <t>STEG</t>
  </si>
  <si>
    <t>Ökostrompreisentwicklung ( für Erzeuger) gemäß energie-Control vom 17.03.09</t>
  </si>
  <si>
    <t>Derzeit durchschnittlicher Strompreis:</t>
  </si>
  <si>
    <t>cent/kWh</t>
  </si>
  <si>
    <t>Derzeit Ökostrompreis (ökostrom-ag):</t>
  </si>
  <si>
    <t>Abgerufen am 17.03.09 von http://www.oekostrom.at/default.asp?id=60837&amp;tt=OEKOAG_R8&amp;hl=3</t>
  </si>
  <si>
    <t>Einspeisepreis für Ökostrom:</t>
  </si>
  <si>
    <t>Keine Förderung durch das Land Oberösterreich</t>
  </si>
  <si>
    <t>Für geschaltete Leistungen – Wärmepumpen, Warmwasserboiler, Nachtstrom – bieten wir unseren günstigen Tarif oekostrom®-click zu brutto 15,5, ct/kWh mit Preisgarantie bis 31.12.2010</t>
  </si>
  <si>
    <r>
      <t>Der oekostrom</t>
    </r>
    <r>
      <rPr>
        <vertAlign val="superscript"/>
        <sz val="10"/>
        <rFont val="Arial"/>
        <family val="2"/>
      </rPr>
      <t>®</t>
    </r>
    <r>
      <rPr>
        <sz val="10"/>
        <rFont val="Arial"/>
        <family val="2"/>
      </rPr>
      <t>-Preis beträgt brutto 21,5 ct/kWh mit Preisgarantie bis 31.12.2010 und ist österreichweit einheitlich.</t>
    </r>
  </si>
  <si>
    <t>Amortisationsdauer:</t>
  </si>
  <si>
    <t>[Jahre]</t>
  </si>
  <si>
    <t>Forstau</t>
  </si>
  <si>
    <t>Untertauern</t>
  </si>
  <si>
    <t>Obertauern</t>
  </si>
  <si>
    <t>Tweng</t>
  </si>
  <si>
    <t>Mauterndorf</t>
  </si>
  <si>
    <t>Mariapfarr</t>
  </si>
  <si>
    <t>St. Andrä im Lungau</t>
  </si>
  <si>
    <t>Weißpriach</t>
  </si>
  <si>
    <t>Tamsweg</t>
  </si>
  <si>
    <t>St. Margarethen im Lungau</t>
  </si>
  <si>
    <t>St. Michael im Lungau</t>
  </si>
  <si>
    <t>Muhr</t>
  </si>
  <si>
    <t>Zederhaus</t>
  </si>
  <si>
    <t>Unternberg</t>
  </si>
  <si>
    <t>Ramingstein</t>
  </si>
  <si>
    <t>Thomatal</t>
  </si>
  <si>
    <t>St. Johann im Pongau</t>
  </si>
  <si>
    <t>Wagrain</t>
  </si>
  <si>
    <t>Kleinarl</t>
  </si>
  <si>
    <t>Großarl</t>
  </si>
  <si>
    <t>Hüttschlag</t>
  </si>
  <si>
    <t>Schwarzach im Pongau</t>
  </si>
  <si>
    <t>St. Veit im Pongau</t>
  </si>
  <si>
    <t>Goldegg</t>
  </si>
  <si>
    <t>Bad Hofgastein</t>
  </si>
  <si>
    <t>Dorfgastein</t>
  </si>
  <si>
    <t>Bad Gastein</t>
  </si>
  <si>
    <t>Böckstein</t>
  </si>
  <si>
    <t>Lend</t>
  </si>
  <si>
    <t>Dienten am Hochkönig</t>
  </si>
  <si>
    <t>Taxenbach</t>
  </si>
  <si>
    <t>Gries</t>
  </si>
  <si>
    <t>Bruck an der Großglocknerstraße</t>
  </si>
  <si>
    <t>Fusch an der Glocknerstraße</t>
  </si>
  <si>
    <t>Zell am See-Schüttdorf</t>
  </si>
  <si>
    <t>Kaprun</t>
  </si>
  <si>
    <t>Piesendorf</t>
  </si>
  <si>
    <t>Niedernsill</t>
  </si>
  <si>
    <t>Stuhlfelden</t>
  </si>
  <si>
    <t>Mittersill</t>
  </si>
  <si>
    <t>Hollersbach im Pinzgau</t>
  </si>
  <si>
    <t>Mühlbach</t>
  </si>
  <si>
    <t>Bramberg am Wildkogel</t>
  </si>
  <si>
    <t>Dalaas</t>
  </si>
  <si>
    <t>Klösterle</t>
  </si>
  <si>
    <t>Stuben</t>
  </si>
  <si>
    <t>Zürs</t>
  </si>
  <si>
    <t>Lech</t>
  </si>
  <si>
    <t>St. Anton im Montafon</t>
  </si>
  <si>
    <t>Vandans</t>
  </si>
  <si>
    <t>Tschagguns</t>
  </si>
  <si>
    <t>Schruns</t>
  </si>
  <si>
    <t>St. Gallenkirch</t>
  </si>
  <si>
    <t>Gaschurn</t>
  </si>
  <si>
    <t>Partenen</t>
  </si>
  <si>
    <t>Feldkirch Postfach</t>
  </si>
  <si>
    <t>Feldkirch-Altenstadt</t>
  </si>
  <si>
    <t>Feldkirch-Gisingen</t>
  </si>
  <si>
    <t>Feldkirch-Tosters</t>
  </si>
  <si>
    <t>Gesamte Förderung:</t>
  </si>
  <si>
    <t>Feldkirch-Tisis</t>
  </si>
  <si>
    <t>Göfis</t>
  </si>
  <si>
    <t>Meiningen</t>
  </si>
  <si>
    <t>Frastanz</t>
  </si>
  <si>
    <t>Satteins</t>
  </si>
  <si>
    <t>Schlins</t>
  </si>
  <si>
    <t>Rankweil</t>
  </si>
  <si>
    <t>Sulz-Röthis</t>
  </si>
  <si>
    <t>Klaus-Weiler</t>
  </si>
  <si>
    <t>Übersaxen</t>
  </si>
  <si>
    <t>Viktorsberg</t>
  </si>
  <si>
    <t>Götzis</t>
  </si>
  <si>
    <t>Mäder</t>
  </si>
  <si>
    <t>Koblach</t>
  </si>
  <si>
    <t>Altach</t>
  </si>
  <si>
    <t>Hohenems</t>
  </si>
  <si>
    <t>Dornbirn</t>
  </si>
  <si>
    <t>Dornbirn Postfach</t>
  </si>
  <si>
    <t>Dornbirn-Oberdorf</t>
  </si>
  <si>
    <t>Dornbirn-Hatlerdorf</t>
  </si>
  <si>
    <t>Dornbirn-Messepark</t>
  </si>
  <si>
    <t>Dornbirn-Haselstauden</t>
  </si>
  <si>
    <t>Schwarzach</t>
  </si>
  <si>
    <t>Alberschwende</t>
  </si>
  <si>
    <t>Egg</t>
  </si>
  <si>
    <t>Andelsbuch</t>
  </si>
  <si>
    <t>Schwarzenberg</t>
  </si>
  <si>
    <t>Bezau</t>
  </si>
  <si>
    <t>Bizau</t>
  </si>
  <si>
    <t>Mellau</t>
  </si>
  <si>
    <t>Schnepfau</t>
  </si>
  <si>
    <t>Au</t>
  </si>
  <si>
    <t>Damüls</t>
  </si>
  <si>
    <t>Schoppernau</t>
  </si>
  <si>
    <t>Schröcken</t>
  </si>
  <si>
    <t>Lustenau</t>
  </si>
  <si>
    <t>Lustenau-Rheindorf</t>
  </si>
  <si>
    <t>Bregenz</t>
  </si>
  <si>
    <t>Bregenz Postfach</t>
  </si>
  <si>
    <t>Bregenz-Vorkloster</t>
  </si>
  <si>
    <t>Bregenz-Schendlingen</t>
  </si>
  <si>
    <t>Bregenz-Achsiedlung</t>
  </si>
  <si>
    <t>Lochau</t>
  </si>
  <si>
    <t>Hörbranz</t>
  </si>
  <si>
    <t>Hohenweiler</t>
  </si>
  <si>
    <t>Kennelbach</t>
  </si>
  <si>
    <t>Wolfurt</t>
  </si>
  <si>
    <t>Lauterach</t>
  </si>
  <si>
    <t>Langen bei Bregenz</t>
  </si>
  <si>
    <t>Doren</t>
  </si>
  <si>
    <t>Sulzberg</t>
  </si>
  <si>
    <t>Langenegg</t>
  </si>
  <si>
    <t>Riefensberg</t>
  </si>
  <si>
    <t>Lingenau</t>
  </si>
  <si>
    <t>Hittisau</t>
  </si>
  <si>
    <t>Wolfurt-Bahnhof</t>
  </si>
  <si>
    <t>Wolfurt-Bahnhof Postfach</t>
  </si>
  <si>
    <t>Hard</t>
  </si>
  <si>
    <t>Fußach</t>
  </si>
  <si>
    <t>Höchst</t>
  </si>
  <si>
    <t>Gaißau</t>
  </si>
  <si>
    <t>Riezlern</t>
  </si>
  <si>
    <t>Hirschegg</t>
  </si>
  <si>
    <t>Mittelberg</t>
  </si>
  <si>
    <t>Eisenstadt Postfach</t>
  </si>
  <si>
    <t>Siegendorf</t>
  </si>
  <si>
    <t>Klingenbach</t>
  </si>
  <si>
    <t>Draßburg</t>
  </si>
  <si>
    <t>Schattendorf</t>
  </si>
  <si>
    <t>Zemendorf</t>
  </si>
  <si>
    <t>Hirm</t>
  </si>
  <si>
    <t>Krensdorf</t>
  </si>
  <si>
    <t>Sigleß</t>
  </si>
  <si>
    <t>Pöttsching</t>
  </si>
  <si>
    <t>Zillingtal</t>
  </si>
  <si>
    <t>Steinbrunn</t>
  </si>
  <si>
    <t>Wulkaprodersdorf</t>
  </si>
  <si>
    <t>Großhöflein</t>
  </si>
  <si>
    <t>Müllendorf</t>
  </si>
  <si>
    <t>Hornstein</t>
  </si>
  <si>
    <t>Trausdorf an der Wulka</t>
  </si>
  <si>
    <t>St. Margarethen im Burgenland</t>
  </si>
  <si>
    <t>Oggau</t>
  </si>
  <si>
    <t>Oslip</t>
  </si>
  <si>
    <t>Rust</t>
  </si>
  <si>
    <t>Mörbisch am See</t>
  </si>
  <si>
    <t>Rust, Burgenland</t>
  </si>
  <si>
    <t>Schützen am Gebirge</t>
  </si>
  <si>
    <t>Donnerskirchen</t>
  </si>
  <si>
    <t>Purbach am Neusiedler See</t>
  </si>
  <si>
    <t>Breitenbrunn</t>
  </si>
  <si>
    <t>Winden am See</t>
  </si>
  <si>
    <t>Jois</t>
  </si>
  <si>
    <t>Neusiedl am See</t>
  </si>
  <si>
    <t>Parndorf</t>
  </si>
  <si>
    <t>Weiden am See</t>
  </si>
  <si>
    <t>Gols</t>
  </si>
  <si>
    <t>Mönchhof</t>
  </si>
  <si>
    <t>Halbturn</t>
  </si>
  <si>
    <t>Frauenkirchen</t>
  </si>
  <si>
    <t>Podersdorf am See</t>
  </si>
  <si>
    <t>Illmitz</t>
  </si>
  <si>
    <t>Apetlon</t>
  </si>
  <si>
    <t>Wallern im Burgenland</t>
  </si>
  <si>
    <t>Pamhagen</t>
  </si>
  <si>
    <t>St. Andrä am Zicksee</t>
  </si>
  <si>
    <t>Tadten</t>
  </si>
  <si>
    <t>Andau</t>
  </si>
  <si>
    <t>Neudörfl</t>
  </si>
  <si>
    <t>Bad Sauerbrunn</t>
  </si>
  <si>
    <t>Wiesen</t>
  </si>
  <si>
    <t>Mattersburg</t>
  </si>
  <si>
    <t>Forchtenstein</t>
  </si>
  <si>
    <t>Marz</t>
  </si>
  <si>
    <t>Rohrbach bei Mattersburg</t>
  </si>
  <si>
    <t>Sieggraben</t>
  </si>
  <si>
    <t>Deutschkreutz</t>
  </si>
  <si>
    <t>Nikitsch</t>
  </si>
  <si>
    <t>Großwarasdorf</t>
  </si>
  <si>
    <t>Neckenmarkt</t>
  </si>
  <si>
    <t>Horitschon</t>
  </si>
  <si>
    <t>Lackendorf</t>
  </si>
  <si>
    <t>Lackenbach</t>
  </si>
  <si>
    <t>Ritzing</t>
  </si>
  <si>
    <t>Weppersdorf</t>
  </si>
  <si>
    <t>Kobersdorf</t>
  </si>
  <si>
    <t>Markt St. Martin</t>
  </si>
  <si>
    <t>Kaisersdorf</t>
  </si>
  <si>
    <t>Neutal</t>
  </si>
  <si>
    <t>Stoob</t>
  </si>
  <si>
    <t>Oberpullendorf</t>
  </si>
  <si>
    <t>Lutzmannsburg</t>
  </si>
  <si>
    <t>Unterrabnitz</t>
  </si>
  <si>
    <t>Draßmarkt</t>
  </si>
  <si>
    <t>Kombination der PV-Anlage mit einer Wärmepumpe:</t>
  </si>
  <si>
    <t>Die PV-Anlage muss jedoch mindestens 2 kWp groß sein!</t>
  </si>
  <si>
    <t>Oberwart</t>
  </si>
  <si>
    <t>Markt Allhau</t>
  </si>
  <si>
    <t>Wolfau</t>
  </si>
  <si>
    <t>Tauchen-Schaueregg</t>
  </si>
  <si>
    <t>St</t>
  </si>
  <si>
    <t>Riedlingsdorf</t>
  </si>
  <si>
    <t>Pinkafeld</t>
  </si>
  <si>
    <t>Bad Tatzmannsdorf</t>
  </si>
  <si>
    <t>Oberschützen</t>
  </si>
  <si>
    <t>http://www.technik.steiermark.at/cms/ziel/59689784/DE/</t>
  </si>
  <si>
    <t>Mariasdorf</t>
  </si>
  <si>
    <t>Bernstein</t>
  </si>
  <si>
    <t>Unterkohlstätten</t>
  </si>
  <si>
    <t>http://www.umweltfoerderung.at/kpc/de/home/umweltfrderung/fr_private/weitere_frderungen/landesfrderung_wien/</t>
  </si>
  <si>
    <t>http://www.ktn.gv.at/42109_DE-ktn.gv.at-THEMEN?detail=2&amp;thema=1&amp;subthema=</t>
  </si>
  <si>
    <t>&gt; 5</t>
  </si>
  <si>
    <t>http://www.energieaktiv.at/information-und-beratung/foerdermoeglichkeiten/direktzuschuss/solar/fotovoltaik-oekostrom/?utm_source=wes&amp;utm_medium=banner&amp;utm_campaign=weitere+Informationen</t>
  </si>
  <si>
    <t>Zum Leitfaden:</t>
  </si>
  <si>
    <t>Zur Registrierung:</t>
  </si>
  <si>
    <t>http://www.vorarlberg.at/vorarlberg/wasser_energie/energie/energie/foerderungen/sub/foerderungvonphotovoltaik.htm</t>
  </si>
  <si>
    <t>Zeit</t>
  </si>
  <si>
    <r>
      <t>[kg CO</t>
    </r>
    <r>
      <rPr>
        <vertAlign val="subscript"/>
        <sz val="10"/>
        <rFont val="Calibri"/>
        <family val="2"/>
      </rPr>
      <t>2</t>
    </r>
    <r>
      <rPr>
        <sz val="10"/>
        <rFont val="Calibri"/>
        <family val="2"/>
      </rPr>
      <t>]</t>
    </r>
  </si>
  <si>
    <t>Förderungen aktualisiert am 11.12.2013</t>
  </si>
  <si>
    <t>Klima- und Energiefonds Förderaktion Photovoltaik-Anlagen 2014</t>
  </si>
  <si>
    <t>https://www.tirol.gv.at/umwelt/energie/energiefoerderungen/</t>
  </si>
  <si>
    <t>http://www.lev.at/index.asp?S=main/foerderungen/gemausw.asp&amp;S1=left/left.asp</t>
  </si>
  <si>
    <t>Nähere Informationen zur Landesförderung:</t>
  </si>
  <si>
    <t>Nähere Informationen zu den Gemeindeförderungen:</t>
  </si>
  <si>
    <t>Förderungen aktualisiert am 29.01.2014</t>
  </si>
  <si>
    <t>https://www.meinefoerderung.at/pv2014/</t>
  </si>
  <si>
    <t>http://www.umweltfoerderung.at/uploads/leitfaden_pv.pdf</t>
  </si>
  <si>
    <t>Interner Zinsfuß:</t>
  </si>
  <si>
    <t>Modell</t>
  </si>
  <si>
    <t>Leistung</t>
  </si>
  <si>
    <t>Kraftstoff</t>
  </si>
  <si>
    <t>kombiniert</t>
  </si>
  <si>
    <t>Marke</t>
  </si>
  <si>
    <t>Benzin</t>
  </si>
  <si>
    <t>[kW]</t>
  </si>
  <si>
    <t>Preis</t>
  </si>
  <si>
    <t>kWh/100km</t>
  </si>
  <si>
    <t>l/100km</t>
  </si>
  <si>
    <t>[g/km]</t>
  </si>
  <si>
    <t>BMW i3</t>
  </si>
  <si>
    <t>Elektrofahrzeug</t>
  </si>
  <si>
    <t>Leistung:</t>
  </si>
  <si>
    <t>[kWh/100km]</t>
  </si>
  <si>
    <t>Kraftstoff:</t>
  </si>
  <si>
    <t>1. Fahrzeugauswahl</t>
  </si>
  <si>
    <t>Leistungsdaten</t>
  </si>
  <si>
    <t>Jahreskilometerleistung:</t>
  </si>
  <si>
    <t>Kraftstoffkosten:</t>
  </si>
  <si>
    <t>Jahresbedarf:</t>
  </si>
  <si>
    <t>Spezifischer Energiebedarf:</t>
  </si>
  <si>
    <t>[l/a]</t>
  </si>
  <si>
    <t>[km/a]</t>
  </si>
  <si>
    <t>ja</t>
  </si>
  <si>
    <t>[€/Monat]</t>
  </si>
  <si>
    <t>Elektrizität</t>
  </si>
  <si>
    <t>Österreich-Paket Plus 4% 1.000,00 1.240,-</t>
  </si>
  <si>
    <t>220d 2C31 + 7LC 140/190 5% 4,4 115 EU6 30.300,00 37.475,- 180,-</t>
  </si>
  <si>
    <t>Österreich-Paket Plus 5% 1.000,00 1.250,-</t>
  </si>
  <si>
    <t>220d A 2C31 + 7LC + 2TB 140/190 4% 4,3 112 EU6 32.230,00 39.565,- 190,-</t>
  </si>
  <si>
    <t>220d xDrive A 2C51 + 7LC + 2TB 140/190 6% 4,6 122 EU6 33.250,48 41.496,- 199,-</t>
  </si>
  <si>
    <t>Österreich-Paket Plus 6% 1.000,00 1.260,-</t>
  </si>
  <si>
    <t>Vertragslaufzeit</t>
  </si>
  <si>
    <t>Allgemeine Daten Elektrofahrzeuge</t>
  </si>
  <si>
    <t>Batterieleasing Laufzeit:</t>
  </si>
  <si>
    <t>[Monate]</t>
  </si>
  <si>
    <t>Batteriemiete und Berechnung "Nissan Leaf"</t>
  </si>
  <si>
    <t>Preis bei Batteriemiete</t>
  </si>
  <si>
    <t>Preis bei Batteriekauf</t>
  </si>
  <si>
    <t>nein</t>
  </si>
  <si>
    <t>[l/100km]</t>
  </si>
  <si>
    <t>MARKE</t>
  </si>
  <si>
    <t>Wartung</t>
  </si>
  <si>
    <t>BMW</t>
  </si>
  <si>
    <t>VW</t>
  </si>
  <si>
    <t>Einnahmen</t>
  </si>
  <si>
    <t>Clio</t>
  </si>
  <si>
    <t>Allgemeine Daten Verbrennungskraftfahrzeuge</t>
  </si>
  <si>
    <t>Kraftstoffverbrauch</t>
  </si>
  <si>
    <t>Stromverbrauch</t>
  </si>
  <si>
    <t>Heimladestation</t>
  </si>
  <si>
    <t>Verbrauch</t>
  </si>
  <si>
    <t>Motorbez. Versicherungssteuer</t>
  </si>
  <si>
    <t>Benzinfahrzeug</t>
  </si>
  <si>
    <t>Laufzeit</t>
  </si>
  <si>
    <t>Investition (inkl. Förderung)</t>
  </si>
  <si>
    <t>[€/a]</t>
  </si>
  <si>
    <t>http://www.eabgld.at/index.php?id=986</t>
  </si>
  <si>
    <t>2. Investitionskosten</t>
  </si>
  <si>
    <t>3. Betriebskosten</t>
  </si>
  <si>
    <r>
      <t>CO</t>
    </r>
    <r>
      <rPr>
        <vertAlign val="subscript"/>
        <sz val="10"/>
        <color theme="0"/>
        <rFont val="Calibri"/>
        <family val="2"/>
        <scheme val="minor"/>
      </rPr>
      <t>2</t>
    </r>
    <r>
      <rPr>
        <sz val="10"/>
        <color theme="0"/>
        <rFont val="Calibri"/>
        <family val="2"/>
        <scheme val="minor"/>
      </rPr>
      <t>-Emissionen</t>
    </r>
  </si>
  <si>
    <t>[PS]</t>
  </si>
  <si>
    <t>[kg/a]</t>
  </si>
  <si>
    <t>4. Verbrauchskosten</t>
  </si>
  <si>
    <t>5. Wirtschaftliche Entwicklung</t>
  </si>
  <si>
    <t>Verbrennungs-Kfz</t>
  </si>
  <si>
    <t>6. Zusammenfassung</t>
  </si>
  <si>
    <t>http://www.ecoplus.at/de/ecoplus/cluster-niederoesterreich/e-mobil/foerderungen-fuer-e-fahrzeuge</t>
  </si>
  <si>
    <t>Förderungen aktualisiert am 20.01.2015</t>
  </si>
  <si>
    <t>Fahrzeug</t>
  </si>
  <si>
    <t>€</t>
  </si>
  <si>
    <t>"reines" E-Fahrzeug</t>
  </si>
  <si>
    <t>Plug-In-Hybrid</t>
  </si>
  <si>
    <t>e-Krafträder inkl. Leichtfahrzeuge</t>
  </si>
  <si>
    <t>&lt;=24</t>
  </si>
  <si>
    <t>&gt;111</t>
  </si>
  <si>
    <t>jährliche</t>
  </si>
  <si>
    <t>monatliche</t>
  </si>
  <si>
    <t>½-jährliche</t>
  </si>
  <si>
    <t>¼-jährliche</t>
  </si>
  <si>
    <t>&gt;24-91</t>
  </si>
  <si>
    <t>&gt;92-111</t>
  </si>
  <si>
    <t>Absolutbeträge</t>
  </si>
  <si>
    <t>Motorbezogene Versicherungssteuer (spezifisch)</t>
  </si>
  <si>
    <t>[€/kW und Monat]</t>
  </si>
  <si>
    <t>Staffelung</t>
  </si>
  <si>
    <t>Grundpreis / Pauschale [€/a]</t>
  </si>
  <si>
    <t>Arbeitspreis 22:00 – 06:00 Uhr [cent]</t>
  </si>
  <si>
    <t>Arbeitspreis 06:00 – 22:00 Uhr [cent]</t>
  </si>
  <si>
    <t>Unterbrechbarer Tarif</t>
  </si>
  <si>
    <t>Tarif (brutto)</t>
  </si>
  <si>
    <t>Ladung an der Heimladestation:</t>
  </si>
  <si>
    <t>Messleistung für 2. Zähler</t>
  </si>
  <si>
    <t>[]</t>
  </si>
  <si>
    <t>Tarif (brutto) inkl. Pauschalen</t>
  </si>
  <si>
    <t>PEUGEOT</t>
  </si>
  <si>
    <t>OPEL</t>
  </si>
  <si>
    <t>CITROEN</t>
  </si>
  <si>
    <t>RENAULT</t>
  </si>
  <si>
    <t>KIA</t>
  </si>
  <si>
    <t>FORD</t>
  </si>
  <si>
    <t>NISSAN</t>
  </si>
  <si>
    <t>HYUNDAI</t>
  </si>
  <si>
    <t>MITSUBISHI</t>
  </si>
  <si>
    <t>CHEVROLET</t>
  </si>
  <si>
    <t>Betriebskosten</t>
  </si>
  <si>
    <t>Verbrauchskosten</t>
  </si>
  <si>
    <t>SMART</t>
  </si>
  <si>
    <t>TESLA</t>
  </si>
  <si>
    <t>Fiat Umbau durch</t>
  </si>
  <si>
    <t>MP Eco Drive</t>
  </si>
  <si>
    <t>TAZZARI</t>
  </si>
  <si>
    <t>STROMOS</t>
  </si>
  <si>
    <t>NF</t>
  </si>
  <si>
    <t>Estrima Biro</t>
  </si>
  <si>
    <t>Start Lab</t>
  </si>
  <si>
    <t>Modellname</t>
  </si>
  <si>
    <t>Model S</t>
  </si>
  <si>
    <t>Roadster</t>
  </si>
  <si>
    <t>Zoe</t>
  </si>
  <si>
    <t>E-Ducato Kombi</t>
  </si>
  <si>
    <t>Leaf</t>
  </si>
  <si>
    <t>Kangoo</t>
  </si>
  <si>
    <t>Ford Focus Electric</t>
  </si>
  <si>
    <t>E-up</t>
  </si>
  <si>
    <t>C Zero</t>
  </si>
  <si>
    <t>i-MiEV</t>
  </si>
  <si>
    <t>i On</t>
  </si>
  <si>
    <t>Smart fortwo</t>
  </si>
  <si>
    <t>electronicdrive</t>
  </si>
  <si>
    <t>Brabus</t>
  </si>
  <si>
    <t>Tazzari Zero</t>
  </si>
  <si>
    <t>Coolcar Van</t>
  </si>
  <si>
    <t>Twizy</t>
  </si>
  <si>
    <t>Coolcar</t>
  </si>
  <si>
    <t>Nano</t>
  </si>
  <si>
    <t>Ampera</t>
  </si>
  <si>
    <t>Volt</t>
  </si>
  <si>
    <t>Outlander PHEV</t>
  </si>
  <si>
    <t>Kaufpreis</t>
  </si>
  <si>
    <t>inkl. MWSt. [EUR]</t>
  </si>
  <si>
    <t>k.A.</t>
  </si>
  <si>
    <t>ab 18.500</t>
  </si>
  <si>
    <t>Reichweite mind.</t>
  </si>
  <si>
    <t>[km]</t>
  </si>
  <si>
    <t>[kWh/100 km]</t>
  </si>
  <si>
    <t>5,8/6,1</t>
  </si>
  <si>
    <t>Spitzengeschwindigkeit</t>
  </si>
  <si>
    <t>[km/h]</t>
  </si>
  <si>
    <t>45/80</t>
  </si>
  <si>
    <t>Antriebssystem</t>
  </si>
  <si>
    <t>Vierpoliger</t>
  </si>
  <si>
    <t>Dreiphasen</t>
  </si>
  <si>
    <t>wechselstrom-</t>
  </si>
  <si>
    <t>Induktionsmotor</t>
  </si>
  <si>
    <t>mit Kupferläufer</t>
  </si>
  <si>
    <t>3-Phasen</t>
  </si>
  <si>
    <t>Asynchron</t>
  </si>
  <si>
    <t>fremderregter</t>
  </si>
  <si>
    <t>Synchronmotor</t>
  </si>
  <si>
    <t>Rekuperation der</t>
  </si>
  <si>
    <t>bremsenergie</t>
  </si>
  <si>
    <t>asynchron mit</t>
  </si>
  <si>
    <t>Wasserkühlung</t>
  </si>
  <si>
    <t>E-Motor</t>
  </si>
  <si>
    <t>E-synchron</t>
  </si>
  <si>
    <t>motor</t>
  </si>
  <si>
    <t>Permanenterregte</t>
  </si>
  <si>
    <t>Synchronmaschine</t>
  </si>
  <si>
    <t>(PSM)</t>
  </si>
  <si>
    <t>Permanent-</t>
  </si>
  <si>
    <t>magnet-</t>
  </si>
  <si>
    <t>Synchronantrieb</t>
  </si>
  <si>
    <t>magnetischer</t>
  </si>
  <si>
    <t>synchroner</t>
  </si>
  <si>
    <t>Heck,</t>
  </si>
  <si>
    <t>Magnet-Motor</t>
  </si>
  <si>
    <t>Heck, Permanent</t>
  </si>
  <si>
    <t>-Magnet-Motor</t>
  </si>
  <si>
    <t>Asynchron-</t>
  </si>
  <si>
    <t>Drehstrommotor</t>
  </si>
  <si>
    <t>Drehstrom</t>
  </si>
  <si>
    <t>Gleichstrommotor</t>
  </si>
  <si>
    <t>Permanent</t>
  </si>
  <si>
    <t>Leistung [kW]</t>
  </si>
  <si>
    <t>max. Drehmoment [Nm]</t>
  </si>
  <si>
    <t>33-57</t>
  </si>
  <si>
    <t>Motorumdrehung</t>
  </si>
  <si>
    <t>-4.100/3.500 U/min</t>
  </si>
  <si>
    <t>137 vorne</t>
  </si>
  <si>
    <t>195 hinten</t>
  </si>
  <si>
    <t>Batterien</t>
  </si>
  <si>
    <t>Li-Ion</t>
  </si>
  <si>
    <t>Li-Ion Fe</t>
  </si>
  <si>
    <t>Blei Gel</t>
  </si>
  <si>
    <t>Blei-Gel,</t>
  </si>
  <si>
    <t>4x Northstar</t>
  </si>
  <si>
    <t>NSB125</t>
  </si>
  <si>
    <t>Energieinhalt [kWh]</t>
  </si>
  <si>
    <t>Ladezyklen</t>
  </si>
  <si>
    <t>der Batterie</t>
  </si>
  <si>
    <t>Ladegerät</t>
  </si>
  <si>
    <t>Integriertes Ladegerät</t>
  </si>
  <si>
    <t>Mietbatterie</t>
  </si>
  <si>
    <t>in Fahrzeug</t>
  </si>
  <si>
    <t>integriert</t>
  </si>
  <si>
    <t>eingebaut</t>
  </si>
  <si>
    <t>Standardladezeit</t>
  </si>
  <si>
    <t>[h]</t>
  </si>
  <si>
    <t>Sitzplätze</t>
  </si>
  <si>
    <t>5 Sitzer</t>
  </si>
  <si>
    <t>2 Sitzer</t>
  </si>
  <si>
    <t>12 Sitzer</t>
  </si>
  <si>
    <t>4 Sitzer</t>
  </si>
  <si>
    <t>3 Sitzer</t>
  </si>
  <si>
    <t>Länge [mm]</t>
  </si>
  <si>
    <t>Anmerkung</t>
  </si>
  <si>
    <t>Erhältlich auch</t>
  </si>
  <si>
    <t>mit 60 kWh</t>
  </si>
  <si>
    <t>Batterie</t>
  </si>
  <si>
    <t>Modelle:</t>
  </si>
  <si>
    <t>Life, Zen,</t>
  </si>
  <si>
    <t>Intens</t>
  </si>
  <si>
    <t>Visia,Acenta,</t>
  </si>
  <si>
    <t>Tekna</t>
  </si>
  <si>
    <t>Attraction</t>
  </si>
  <si>
    <t>Seduction</t>
  </si>
  <si>
    <t>classic, evo,</t>
  </si>
  <si>
    <t>Speedster,</t>
  </si>
  <si>
    <t>Anniversary</t>
  </si>
  <si>
    <t>Urban, Technic</t>
  </si>
  <si>
    <t>Modell:</t>
  </si>
  <si>
    <t>Indimo Coolcar</t>
  </si>
  <si>
    <t>Karosse aus</t>
  </si>
  <si>
    <t>Kunststoff</t>
  </si>
  <si>
    <t>Erweiterte Reichweite</t>
  </si>
  <si>
    <t>durch eingebauten</t>
  </si>
  <si>
    <t>Benzinmotor</t>
  </si>
  <si>
    <t>als Stromgenerator</t>
  </si>
  <si>
    <t>Plug-in-Hybrid</t>
  </si>
  <si>
    <t>mit EV-System</t>
  </si>
  <si>
    <t>(Benzimotor als</t>
  </si>
  <si>
    <t>Generator)</t>
  </si>
  <si>
    <t xml:space="preserve"> e-up!</t>
  </si>
  <si>
    <t>Typ</t>
  </si>
  <si>
    <t>EV</t>
  </si>
  <si>
    <t>Batteriemiete und Berechnung "Renault Kangoo"</t>
  </si>
  <si>
    <t>C3</t>
  </si>
  <si>
    <t>Citigo</t>
  </si>
  <si>
    <t>Picanto 3-Türer</t>
  </si>
  <si>
    <t>Aygo</t>
  </si>
  <si>
    <t>Marke und</t>
  </si>
  <si>
    <t>Modell anonymisiert</t>
  </si>
  <si>
    <t>Motor</t>
  </si>
  <si>
    <t>0.9 TwinAir</t>
  </si>
  <si>
    <t>PureTech 82</t>
  </si>
  <si>
    <t>Technology</t>
  </si>
  <si>
    <t>1.0 MPI</t>
  </si>
  <si>
    <t>1.0 Auto</t>
  </si>
  <si>
    <t>Start/Stop-System</t>
  </si>
  <si>
    <t>Kaufpreis bei</t>
  </si>
  <si>
    <t>Grundausstattung</t>
  </si>
  <si>
    <t>[ab EUR] inkl MWSt.</t>
  </si>
  <si>
    <t>CO2-Emissionen</t>
  </si>
  <si>
    <t>EU-Abgasnorm</t>
  </si>
  <si>
    <t>Getriebe</t>
  </si>
  <si>
    <t>M5</t>
  </si>
  <si>
    <t>Breite mit Außenspiegel [mm]</t>
  </si>
  <si>
    <t>Höhe ohne Dachreeling [mm]</t>
  </si>
  <si>
    <t>andere Motoren</t>
  </si>
  <si>
    <t>(Verbrauch, CO2-Emission,</t>
  </si>
  <si>
    <t>Leistung [kW], Leistung [PS])</t>
  </si>
  <si>
    <t>(4.3, 100, 59, 80)</t>
  </si>
  <si>
    <t>PureTech 68</t>
  </si>
  <si>
    <t>(4.3, 99, 50, 68)</t>
  </si>
  <si>
    <t>(4.5, 104, 60, 82)</t>
  </si>
  <si>
    <t>1.0l (4.2, 98, 55, 75)</t>
  </si>
  <si>
    <t>(4.2, 98, 55, 75)</t>
  </si>
  <si>
    <t>(4.3, 99, 92, 125)</t>
  </si>
  <si>
    <t>Modellvarianten</t>
  </si>
  <si>
    <t>Intense</t>
  </si>
  <si>
    <t>Lounge</t>
  </si>
  <si>
    <t>Trend, Titanium</t>
  </si>
  <si>
    <t>Als 3-Türer oder</t>
  </si>
  <si>
    <t>5-Türer erhältlich</t>
  </si>
  <si>
    <t>erhältlich</t>
  </si>
  <si>
    <t>Leon</t>
  </si>
  <si>
    <t>Ibiza</t>
  </si>
  <si>
    <t>1.2 MPI</t>
  </si>
  <si>
    <t>M6</t>
  </si>
  <si>
    <t>1.2 TSI</t>
  </si>
  <si>
    <t>Comfortline</t>
  </si>
  <si>
    <t>Active, Ambition,</t>
  </si>
  <si>
    <t>Golf Variant</t>
  </si>
  <si>
    <t>Megane Grandtour</t>
  </si>
  <si>
    <t>Insignia</t>
  </si>
  <si>
    <t>Astra Sports Tourer</t>
  </si>
  <si>
    <t>1.4 TSI</t>
  </si>
  <si>
    <t>Active, Ambition</t>
  </si>
  <si>
    <t>Österreich Edition</t>
  </si>
  <si>
    <t>Modellauswahl</t>
  </si>
  <si>
    <t>http://www.topprodukte.at</t>
  </si>
  <si>
    <t>Captur</t>
  </si>
  <si>
    <t>A-Klasse</t>
  </si>
  <si>
    <t>Titanium</t>
  </si>
  <si>
    <t>Scenic</t>
  </si>
  <si>
    <t>Spritpreissteigerung/Jahr:</t>
  </si>
  <si>
    <t>[€/l]</t>
  </si>
  <si>
    <t>Entwicklung Kraftstoffpreise</t>
  </si>
  <si>
    <t>Benzin-/Diesel</t>
  </si>
  <si>
    <t>Strom</t>
  </si>
  <si>
    <t>DELTA</t>
  </si>
  <si>
    <t>kWh/100km*</t>
  </si>
  <si>
    <t>kWh/liter Benzin</t>
  </si>
  <si>
    <t>* Energieinhalt:</t>
  </si>
  <si>
    <r>
      <t>CO</t>
    </r>
    <r>
      <rPr>
        <vertAlign val="subscript"/>
        <sz val="10"/>
        <rFont val="Calibri"/>
        <family val="2"/>
      </rPr>
      <t>2</t>
    </r>
    <r>
      <rPr>
        <sz val="10"/>
        <rFont val="Calibri"/>
        <family val="2"/>
      </rPr>
      <t>-Einsparungen nach 12 Jahren:</t>
    </r>
  </si>
  <si>
    <r>
      <t>Jährlichen direkten CO</t>
    </r>
    <r>
      <rPr>
        <vertAlign val="subscript"/>
        <sz val="10"/>
        <rFont val="Calibri"/>
        <family val="2"/>
        <scheme val="minor"/>
      </rPr>
      <t>2</t>
    </r>
    <r>
      <rPr>
        <sz val="10"/>
        <rFont val="Calibri"/>
        <family val="2"/>
        <scheme val="minor"/>
      </rPr>
      <t>-Emissionen:</t>
    </r>
  </si>
  <si>
    <t>Mehreinnahmen nach 12 Jahren:</t>
  </si>
  <si>
    <t>Summe:</t>
  </si>
  <si>
    <t>Vollkosten [€/km]</t>
  </si>
  <si>
    <t>Mitgliedsbeitrag Autofahrerclub:</t>
  </si>
  <si>
    <t>Vignette/Umweltplakette...:</t>
  </si>
  <si>
    <t>Eingesparte Energie nach 12 Jahren:</t>
  </si>
  <si>
    <t>Polo</t>
  </si>
  <si>
    <t>A1</t>
  </si>
  <si>
    <t>1.6 TDI</t>
  </si>
  <si>
    <t>A5</t>
  </si>
  <si>
    <t>Diesel</t>
  </si>
  <si>
    <t>kWh/liter Diesel</t>
  </si>
  <si>
    <t>Quelle: Recknagel, Sprenger, Schramek; Taschenbuch für Heizung + Klimatechnik; 2001; Seite 209</t>
  </si>
  <si>
    <t>kJ/kg</t>
  </si>
  <si>
    <r>
      <t>H</t>
    </r>
    <r>
      <rPr>
        <vertAlign val="subscript"/>
        <sz val="10"/>
        <rFont val="Calibri"/>
        <family val="2"/>
        <scheme val="minor"/>
      </rPr>
      <t xml:space="preserve">u Benzin(Mittelwert) </t>
    </r>
    <r>
      <rPr>
        <sz val="10"/>
        <rFont val="Calibri"/>
        <family val="2"/>
        <scheme val="minor"/>
      </rPr>
      <t>=</t>
    </r>
  </si>
  <si>
    <r>
      <t>H</t>
    </r>
    <r>
      <rPr>
        <vertAlign val="subscript"/>
        <sz val="10"/>
        <rFont val="Calibri"/>
        <family val="2"/>
        <scheme val="minor"/>
      </rPr>
      <t xml:space="preserve">u Gasöl (Diesel) </t>
    </r>
    <r>
      <rPr>
        <sz val="10"/>
        <rFont val="Calibri"/>
        <family val="2"/>
        <scheme val="minor"/>
      </rPr>
      <t>=</t>
    </r>
  </si>
  <si>
    <t>Civic</t>
  </si>
  <si>
    <t>Passat Limousine</t>
  </si>
  <si>
    <t>2.0 TDI</t>
  </si>
  <si>
    <t>Active, Allure</t>
  </si>
  <si>
    <t>Benzin/Diesel</t>
  </si>
  <si>
    <t>[a]</t>
  </si>
  <si>
    <t>Tarif Heimladestation:</t>
  </si>
  <si>
    <t>Tarif Tankstellen:</t>
  </si>
  <si>
    <t>Mischtarif Heimladung/öffentliche Ladung:</t>
  </si>
  <si>
    <t>[kWh]</t>
  </si>
  <si>
    <t>jährliche Vollkosten</t>
  </si>
  <si>
    <t>monatliche Vollkosten</t>
  </si>
  <si>
    <t>tägliche Vollkosten</t>
  </si>
  <si>
    <r>
      <t>[kg CO</t>
    </r>
    <r>
      <rPr>
        <vertAlign val="subscript"/>
        <sz val="10"/>
        <rFont val="Calibri"/>
        <family val="2"/>
      </rPr>
      <t>2</t>
    </r>
    <r>
      <rPr>
        <sz val="10"/>
        <rFont val="Calibri"/>
        <family val="2"/>
      </rPr>
      <t>/a]</t>
    </r>
  </si>
  <si>
    <t>Energieeinsparungen pro Jahr:</t>
  </si>
  <si>
    <r>
      <t>CO</t>
    </r>
    <r>
      <rPr>
        <vertAlign val="subscript"/>
        <sz val="10"/>
        <rFont val="Calibri"/>
        <family val="2"/>
      </rPr>
      <t>2</t>
    </r>
    <r>
      <rPr>
        <sz val="10"/>
        <rFont val="Calibri"/>
        <family val="2"/>
      </rPr>
      <t>-Einsparungen pro Jahr:</t>
    </r>
  </si>
  <si>
    <t>Rechtliche Information:</t>
  </si>
  <si>
    <t>Quellen:</t>
  </si>
  <si>
    <t>Annahmen:</t>
  </si>
  <si>
    <t>DI (FH) Franz Jetzinger</t>
  </si>
  <si>
    <t>f.jetzinger@linzag.at</t>
  </si>
  <si>
    <t>Differenz</t>
  </si>
  <si>
    <t>Energieeinsparung</t>
  </si>
  <si>
    <r>
      <t xml:space="preserve">Die LINZ AG sowie alle Mitwirkenden an diesem Programm haben deren Inhalte sorgfältig recherchiert und erstellt. Fehler können dennoch nicht gänzlich ausgeschlossen werden.
Die Genannten übernehmen daher </t>
    </r>
    <r>
      <rPr>
        <b/>
        <sz val="10"/>
        <rFont val="Calibri"/>
        <family val="2"/>
      </rPr>
      <t>keine Haftung</t>
    </r>
    <r>
      <rPr>
        <sz val="10"/>
        <rFont val="Calibri"/>
        <family val="2"/>
      </rPr>
      <t xml:space="preserve"> für die Richtigkeit, Vollständigkeit und Aktualität der Inhalte, insbesondere übernehmen sie keinerlei Haftung für eventuelle unmittelbare oder mittelbare Schäden, die durch direkte oder indirekte Nutzung des angebotenen Programms entstehen.</t>
    </r>
  </si>
  <si>
    <t>Die derzeit aktuelle Version:</t>
  </si>
  <si>
    <t>Leistungsunterschied</t>
  </si>
  <si>
    <t>Allgemeine Angaben</t>
  </si>
  <si>
    <t>Auswahl</t>
  </si>
  <si>
    <t>Energie</t>
  </si>
  <si>
    <r>
      <t>CO</t>
    </r>
    <r>
      <rPr>
        <b/>
        <vertAlign val="subscript"/>
        <sz val="10"/>
        <rFont val="Calibri"/>
        <family val="2"/>
      </rPr>
      <t>2</t>
    </r>
  </si>
  <si>
    <t>Zahlungsweise der motorbez.</t>
  </si>
  <si>
    <t>Versicherungssteuer:</t>
  </si>
  <si>
    <t>Kontakt:</t>
  </si>
  <si>
    <t>Versicherungsprämie (exkl. motorb. Vers.):</t>
  </si>
  <si>
    <r>
      <t>Betrachtungszeitraum</t>
    </r>
    <r>
      <rPr>
        <vertAlign val="superscript"/>
        <sz val="10"/>
        <rFont val="Calibri"/>
        <family val="2"/>
        <scheme val="minor"/>
      </rPr>
      <t>1</t>
    </r>
    <r>
      <rPr>
        <sz val="10"/>
        <rFont val="Calibri"/>
        <family val="2"/>
        <scheme val="minor"/>
      </rPr>
      <t>:</t>
    </r>
  </si>
  <si>
    <r>
      <t>Ladewirkungsgrad</t>
    </r>
    <r>
      <rPr>
        <i/>
        <vertAlign val="superscript"/>
        <sz val="9"/>
        <rFont val="Calibri"/>
        <family val="2"/>
        <scheme val="minor"/>
      </rPr>
      <t>2</t>
    </r>
    <r>
      <rPr>
        <sz val="10"/>
        <rFont val="Calibri"/>
        <family val="2"/>
        <scheme val="minor"/>
      </rPr>
      <t>:</t>
    </r>
  </si>
  <si>
    <r>
      <t>direkte CO</t>
    </r>
    <r>
      <rPr>
        <vertAlign val="subscript"/>
        <sz val="10"/>
        <rFont val="Calibri"/>
        <family val="2"/>
        <scheme val="minor"/>
      </rPr>
      <t>2</t>
    </r>
    <r>
      <rPr>
        <sz val="10"/>
        <rFont val="Calibri"/>
        <family val="2"/>
        <scheme val="minor"/>
      </rPr>
      <t>-Emissionen</t>
    </r>
    <r>
      <rPr>
        <i/>
        <vertAlign val="superscript"/>
        <sz val="9"/>
        <rFont val="Calibri"/>
        <family val="2"/>
        <scheme val="minor"/>
      </rPr>
      <t>3</t>
    </r>
    <r>
      <rPr>
        <sz val="10"/>
        <rFont val="Calibri"/>
        <family val="2"/>
        <scheme val="minor"/>
      </rPr>
      <t>:</t>
    </r>
  </si>
  <si>
    <t>www.topprodukte.at</t>
  </si>
  <si>
    <t>Recknagel, Sprenger, Schramek; Taschenbuch für Heizung + Klimatechnik; 2001; Seite 209</t>
  </si>
  <si>
    <t>CO2 Grenzwert</t>
  </si>
  <si>
    <t>Jahr der Anschaffung</t>
  </si>
  <si>
    <t>&gt;1000000</t>
  </si>
  <si>
    <t>Einkommen</t>
  </si>
  <si>
    <t>Einkommenssteuer</t>
  </si>
  <si>
    <t>Jahreseinkommen</t>
  </si>
  <si>
    <t>Anmerkung Garantie</t>
  </si>
  <si>
    <t>Info zur Akkugarantie: 8 Jahre bis 160.000 km</t>
  </si>
  <si>
    <t>Batteriemiete und Berechnung "Nissan ev200"</t>
  </si>
  <si>
    <t>Info zur Akkugarantie: 7 Jahre bis 150.000 km</t>
  </si>
  <si>
    <t>Info zur Akkugarantie: 8 Jahre bis 100.000 km</t>
  </si>
  <si>
    <t>Anschaffungsjahr:</t>
  </si>
  <si>
    <r>
      <t>CO</t>
    </r>
    <r>
      <rPr>
        <vertAlign val="subscript"/>
        <sz val="10"/>
        <color theme="0"/>
        <rFont val="Arial"/>
        <family val="2"/>
      </rPr>
      <t>2</t>
    </r>
    <r>
      <rPr>
        <sz val="10"/>
        <color theme="0"/>
        <rFont val="Arial"/>
        <family val="2"/>
      </rPr>
      <t xml:space="preserve"> Grenzwert</t>
    </r>
  </si>
  <si>
    <r>
      <t>CO</t>
    </r>
    <r>
      <rPr>
        <vertAlign val="subscript"/>
        <sz val="10"/>
        <color theme="0"/>
        <rFont val="Arial"/>
        <family val="2"/>
      </rPr>
      <t>2</t>
    </r>
    <r>
      <rPr>
        <sz val="10"/>
        <color theme="0"/>
        <rFont val="Arial"/>
        <family val="2"/>
      </rPr>
      <t xml:space="preserve"> Grenzwert:</t>
    </r>
  </si>
  <si>
    <t>Sachbezug</t>
  </si>
  <si>
    <t>BRUTTO</t>
  </si>
  <si>
    <t>NETTO</t>
  </si>
  <si>
    <t>[c/kWh]</t>
  </si>
  <si>
    <t>[€/m]</t>
  </si>
  <si>
    <t>Prozentsatz mit dem die Vorsteuer bei den Verbrauchs- und Betriebskosten abgezogen werden darf</t>
  </si>
  <si>
    <t>Wir möchten darauf hinweisen, dass sich dieses Programm in stetiger Entwicklung befindet und wir die Nutzer bitten, im Falle eines auftretenden Fehlers folgende Person zu kontaktieren, um diese zu korrigieren:</t>
  </si>
  <si>
    <t>Lohnnebenkosten</t>
  </si>
  <si>
    <t>Kraftstoffpreise:</t>
  </si>
  <si>
    <t>Celerio 5-Türer</t>
  </si>
  <si>
    <t>108 3-Türer</t>
  </si>
  <si>
    <t>fortwo</t>
  </si>
  <si>
    <t>up!</t>
  </si>
  <si>
    <t>Twingo</t>
  </si>
  <si>
    <t>forfour</t>
  </si>
  <si>
    <t>Panda City Car</t>
  </si>
  <si>
    <t>Fiesta</t>
  </si>
  <si>
    <t>Karl</t>
  </si>
  <si>
    <t>3-Türer</t>
  </si>
  <si>
    <t>Fabia</t>
  </si>
  <si>
    <t>i10</t>
  </si>
  <si>
    <t>5-Türer</t>
  </si>
  <si>
    <t>1.0 Dualjet</t>
  </si>
  <si>
    <t>52 kW mit</t>
  </si>
  <si>
    <t>Start-Stop-Automatik</t>
  </si>
  <si>
    <t>1.0 TSI BlueMotion</t>
  </si>
  <si>
    <t>1.0 BlueMotion</t>
  </si>
  <si>
    <t>1.0 VVT-i</t>
  </si>
  <si>
    <t>SCe 70</t>
  </si>
  <si>
    <t>Start&amp;Stop</t>
  </si>
  <si>
    <t>1.0 MPI ISG</t>
  </si>
  <si>
    <t>Cooper</t>
  </si>
  <si>
    <t>1.2 MIVEC AS&amp;G</t>
  </si>
  <si>
    <t>1.0 TSI</t>
  </si>
  <si>
    <t>(4.3, 99, 81, 110),</t>
  </si>
  <si>
    <t>(4.7, 107, 66, 90)</t>
  </si>
  <si>
    <t>1.0 Eco Boost Auto</t>
  </si>
  <si>
    <t>(4.6, 106, 62, 85)</t>
  </si>
  <si>
    <t>One</t>
  </si>
  <si>
    <t>(4.6, 108, 75, 102)</t>
  </si>
  <si>
    <t>(4.8, 110, 81, 110)</t>
  </si>
  <si>
    <t>move up!, club up!,</t>
  </si>
  <si>
    <t>high up!</t>
  </si>
  <si>
    <t>Zen, Intens</t>
  </si>
  <si>
    <t>Silber</t>
  </si>
  <si>
    <t>One, Cooper</t>
  </si>
  <si>
    <t>Life, Comfort</t>
  </si>
  <si>
    <t>Sportback, sport,</t>
  </si>
  <si>
    <t>design</t>
  </si>
  <si>
    <t>C4 Cactus</t>
  </si>
  <si>
    <t>Fabia Combi</t>
  </si>
  <si>
    <t>Rio</t>
  </si>
  <si>
    <t>i20</t>
  </si>
  <si>
    <t>G90</t>
  </si>
  <si>
    <t>PureTech 110 S&amp;S</t>
  </si>
  <si>
    <t>1.2 PureTech 82</t>
  </si>
  <si>
    <t>Sport</t>
  </si>
  <si>
    <t>Highline</t>
  </si>
  <si>
    <t>Executive</t>
  </si>
  <si>
    <t>308 SW</t>
  </si>
  <si>
    <t>C-Klasse</t>
  </si>
  <si>
    <t>Tourneo Courier</t>
  </si>
  <si>
    <t>PureTech 110</t>
  </si>
  <si>
    <t>Golf Sportsvan</t>
  </si>
  <si>
    <t>PureTech 130</t>
  </si>
  <si>
    <t>Rabbit, Comfortline</t>
  </si>
  <si>
    <t>Auch als 7-Sitzer</t>
  </si>
  <si>
    <t>BlueHDi 100</t>
  </si>
  <si>
    <t>Style</t>
  </si>
  <si>
    <t>Ocean Race</t>
  </si>
  <si>
    <t>1.6 CRDi</t>
  </si>
  <si>
    <t>Edition,</t>
  </si>
  <si>
    <t>Eingabe</t>
  </si>
  <si>
    <t>eigenes Fahrzeug</t>
  </si>
  <si>
    <t>Monatliche Vollkosten</t>
  </si>
  <si>
    <t>Jährliche Vollkosten</t>
  </si>
  <si>
    <t>Energieträger</t>
  </si>
  <si>
    <t>Sonstiges</t>
  </si>
  <si>
    <t>privat</t>
  </si>
  <si>
    <t>betrieblich</t>
  </si>
  <si>
    <t>Rentabilität</t>
  </si>
  <si>
    <t>betrieblich + privat (&lt;6000km/a)</t>
  </si>
  <si>
    <t>betrieblich + privat (&gt;6000km/a)</t>
  </si>
  <si>
    <t>*</t>
  </si>
  <si>
    <t>Verbauchskosten [€/km]</t>
  </si>
  <si>
    <t>9. Vollkosten (Betrachtungszeitraum 12 Jahre)</t>
  </si>
  <si>
    <t>7. Ausfüllhilfe</t>
  </si>
  <si>
    <t>8. Vollkosten pro Kilometer</t>
  </si>
  <si>
    <t>10. Übersicht über die jährlichen Ersparnisse (Barwerte)</t>
  </si>
  <si>
    <t>11. Übersicht Rentabilität (Kapitalwerteverlauf)</t>
  </si>
  <si>
    <t>Investitionen in den Akku erfolgen im Jahr:</t>
  </si>
  <si>
    <t>2017 ok</t>
  </si>
  <si>
    <r>
      <t>Höhe der Investition (dzt. 200€/kWh)</t>
    </r>
    <r>
      <rPr>
        <i/>
        <vertAlign val="superscript"/>
        <sz val="9"/>
        <rFont val="Calibri"/>
        <family val="2"/>
        <scheme val="minor"/>
      </rPr>
      <t>4</t>
    </r>
    <r>
      <rPr>
        <sz val="10"/>
        <rFont val="Calibri"/>
        <family val="2"/>
        <scheme val="minor"/>
      </rPr>
      <t>:</t>
    </r>
  </si>
  <si>
    <t>Batteriemiete:</t>
  </si>
  <si>
    <t>Batteriemiete und Berechnung "Renault Zoe R90 - Standard"</t>
  </si>
  <si>
    <t>Info zur Akkugarantie: 8 Jahre bis 200.000 km</t>
  </si>
  <si>
    <t>Start-Stop</t>
  </si>
  <si>
    <t>S&amp;S Dualogic</t>
  </si>
  <si>
    <t>15'-16'</t>
  </si>
  <si>
    <t>Pure Tech 110 S&amp;S</t>
  </si>
  <si>
    <t>(4.8, 108, 55, 75)</t>
  </si>
  <si>
    <t>Suzuki</t>
  </si>
  <si>
    <t xml:space="preserve">Peugeot </t>
  </si>
  <si>
    <t>Fiat</t>
  </si>
  <si>
    <t>MItsubishi</t>
  </si>
  <si>
    <t>smart</t>
  </si>
  <si>
    <t>Opel</t>
  </si>
  <si>
    <t>Citroen</t>
  </si>
  <si>
    <t>Toyota</t>
  </si>
  <si>
    <t>Skoda</t>
  </si>
  <si>
    <t>Renault</t>
  </si>
  <si>
    <t>Audi</t>
  </si>
  <si>
    <t>Lancia</t>
  </si>
  <si>
    <t>Ford</t>
  </si>
  <si>
    <t>Nissan</t>
  </si>
  <si>
    <t>Peugeot</t>
  </si>
  <si>
    <t>Kia</t>
  </si>
  <si>
    <t>Mini</t>
  </si>
  <si>
    <t xml:space="preserve">Hyundai </t>
  </si>
  <si>
    <t>Honda</t>
  </si>
  <si>
    <t>Ineffizientes Gerät</t>
  </si>
  <si>
    <t>nach diesem Kriterium sortieren</t>
  </si>
  <si>
    <t>500 Lounge</t>
  </si>
  <si>
    <t>Space Star Inform</t>
  </si>
  <si>
    <t>Baleno</t>
  </si>
  <si>
    <t xml:space="preserve">C1 </t>
  </si>
  <si>
    <t>Adam JAM</t>
  </si>
  <si>
    <t>Ypsilon</t>
  </si>
  <si>
    <t>Swift 5-Türer</t>
  </si>
  <si>
    <t>Fiesta Trend</t>
  </si>
  <si>
    <t xml:space="preserve">Micra Acenta </t>
  </si>
  <si>
    <t>208 3-Türer</t>
  </si>
  <si>
    <t>Jazz MY16</t>
  </si>
  <si>
    <t>e-Vit 68</t>
  </si>
  <si>
    <t>0.9 8V TA</t>
  </si>
  <si>
    <t xml:space="preserve">Start&amp;Stop </t>
  </si>
  <si>
    <t>1,0 MIVEC AS&amp;G</t>
  </si>
  <si>
    <t>1.2 Dualjet SHVS</t>
  </si>
  <si>
    <t>1.0 EcoTEC</t>
  </si>
  <si>
    <t>Start Stop</t>
  </si>
  <si>
    <t xml:space="preserve">VTI 68 </t>
  </si>
  <si>
    <t>1.0l MPI</t>
  </si>
  <si>
    <t>Stop&amp;Start</t>
  </si>
  <si>
    <t>Automatik</t>
  </si>
  <si>
    <t>1.0 TFSI ultra</t>
  </si>
  <si>
    <t>1.0 Turbo EcoFelx</t>
  </si>
  <si>
    <t>Direct injection</t>
  </si>
  <si>
    <t>66 kW</t>
  </si>
  <si>
    <t xml:space="preserve">0.9 8V TwinIR </t>
  </si>
  <si>
    <t>1.2 Dualjet</t>
  </si>
  <si>
    <t>48 kW</t>
  </si>
  <si>
    <t>1.2 l DIG-S</t>
  </si>
  <si>
    <t>ASG5</t>
  </si>
  <si>
    <t>blue 1.0</t>
  </si>
  <si>
    <t>1.3 TREND</t>
  </si>
  <si>
    <t xml:space="preserve">1.0 l MPI </t>
  </si>
  <si>
    <t>Kraftstoffver-</t>
  </si>
  <si>
    <t>brauch [l/100km]</t>
  </si>
  <si>
    <t>AMT5</t>
  </si>
  <si>
    <t>CVT</t>
  </si>
  <si>
    <t>x</t>
  </si>
  <si>
    <t>1.2 8V</t>
  </si>
  <si>
    <t>(4.5, 105, 51, 69)</t>
  </si>
  <si>
    <t>(4.2, 97,70, 95)</t>
  </si>
  <si>
    <t>85 kW</t>
  </si>
  <si>
    <t>(5.0,112,85,115)</t>
  </si>
  <si>
    <t>(4.5, 104, 81, 110)</t>
  </si>
  <si>
    <t>1.0 PureTech 82</t>
  </si>
  <si>
    <t>(4.5, 103, 81, 110)</t>
  </si>
  <si>
    <t>(4.8,112,75,102)</t>
  </si>
  <si>
    <t>pure, clear</t>
  </si>
  <si>
    <t>shine</t>
  </si>
  <si>
    <t>500C</t>
  </si>
  <si>
    <t>Comfort Line,</t>
  </si>
  <si>
    <t>BlueMotion, Austria</t>
  </si>
  <si>
    <t>Comfortline, Highline</t>
  </si>
  <si>
    <t xml:space="preserve">Feel, Shine, Start </t>
  </si>
  <si>
    <t>Active,</t>
  </si>
  <si>
    <t xml:space="preserve">Style, </t>
  </si>
  <si>
    <t>Pop, Easy</t>
  </si>
  <si>
    <t>Glam, Slam</t>
  </si>
  <si>
    <t>flash,</t>
  </si>
  <si>
    <t>N-TEC</t>
  </si>
  <si>
    <t>Supermouse, Acenta</t>
  </si>
  <si>
    <t>Seductio, Attraction</t>
  </si>
  <si>
    <t>Exclusive</t>
  </si>
  <si>
    <t>Trend, Comfort</t>
  </si>
  <si>
    <t>Elegance</t>
  </si>
  <si>
    <t>Joy,</t>
  </si>
  <si>
    <t xml:space="preserve">Monte Carlo </t>
  </si>
  <si>
    <t>Höhe entspricht</t>
  </si>
  <si>
    <t>Microvan-Kriterien</t>
  </si>
  <si>
    <t>4/5 Sitzer</t>
  </si>
  <si>
    <t xml:space="preserve">auch als 5 -Türer </t>
  </si>
  <si>
    <t>auch als Automatik</t>
  </si>
  <si>
    <t>sehr gute Werte</t>
  </si>
  <si>
    <t>Auch als DS3</t>
  </si>
  <si>
    <t>Auch als Combi</t>
  </si>
  <si>
    <t xml:space="preserve">erhältlich </t>
  </si>
  <si>
    <t>3er Limousine</t>
  </si>
  <si>
    <t>A8</t>
  </si>
  <si>
    <t>2er Active Tourer</t>
  </si>
  <si>
    <t>216d</t>
  </si>
  <si>
    <t>Auch als Grand</t>
  </si>
  <si>
    <t>BlueHDi 120</t>
  </si>
  <si>
    <t>Dacia</t>
  </si>
  <si>
    <t>Sandero</t>
  </si>
  <si>
    <t>TCe 90</t>
  </si>
  <si>
    <t>Lodgy</t>
  </si>
  <si>
    <t>Dokker</t>
  </si>
  <si>
    <t>TCe 115</t>
  </si>
  <si>
    <t>Panda</t>
  </si>
  <si>
    <t>Auch als Kombi</t>
  </si>
  <si>
    <t>Focus</t>
  </si>
  <si>
    <t>Hyundai</t>
  </si>
  <si>
    <t>Gold, Silber</t>
  </si>
  <si>
    <t>Ceed SW</t>
  </si>
  <si>
    <t>Mazda</t>
  </si>
  <si>
    <t>Mercedes</t>
  </si>
  <si>
    <t>180d</t>
  </si>
  <si>
    <t>Juke</t>
  </si>
  <si>
    <t>Edition, Dynamic</t>
  </si>
  <si>
    <t>Innovation</t>
  </si>
  <si>
    <t>auch als Combi</t>
  </si>
  <si>
    <t>Grandtour erhältlich</t>
  </si>
  <si>
    <t>auch als Passat</t>
  </si>
  <si>
    <t>Variant erhältlich</t>
  </si>
  <si>
    <t>Scenic erhältlich</t>
  </si>
  <si>
    <t>Seat</t>
  </si>
  <si>
    <t>1.0 Eco TSI</t>
  </si>
  <si>
    <t>Reference</t>
  </si>
  <si>
    <t>Auch als Limousine</t>
  </si>
  <si>
    <t xml:space="preserve">Limousine erhältlich </t>
  </si>
  <si>
    <t>4/5 Türer,</t>
  </si>
  <si>
    <t>Sportstourer</t>
  </si>
  <si>
    <t>Spaceback erhältlich</t>
  </si>
  <si>
    <t>Vitara</t>
  </si>
  <si>
    <t>Volvo</t>
  </si>
  <si>
    <t>Batterie mieten oder kaufen:</t>
  </si>
  <si>
    <t>Akku kaufen!</t>
  </si>
  <si>
    <t>Akku mieten!</t>
  </si>
  <si>
    <t>Quelle</t>
  </si>
  <si>
    <t>topprodukte.at</t>
  </si>
  <si>
    <r>
      <t>Lohnnebenkosten Sachbezug:</t>
    </r>
    <r>
      <rPr>
        <vertAlign val="superscript"/>
        <sz val="10"/>
        <rFont val="Calibri"/>
        <family val="2"/>
        <scheme val="minor"/>
      </rPr>
      <t>5</t>
    </r>
  </si>
  <si>
    <t xml:space="preserve">Leaf Acenta </t>
  </si>
  <si>
    <t>Leaf N-Connecta</t>
  </si>
  <si>
    <t xml:space="preserve">Leaf Tekna </t>
  </si>
  <si>
    <t>e-Golf</t>
  </si>
  <si>
    <t>i30</t>
  </si>
  <si>
    <t>Astra</t>
  </si>
  <si>
    <t>Space Star</t>
  </si>
  <si>
    <t>Yaris</t>
  </si>
  <si>
    <t>Swift</t>
  </si>
  <si>
    <t>A1 SB</t>
  </si>
  <si>
    <t>VTi 72</t>
  </si>
  <si>
    <t>1.0 VTi 72</t>
  </si>
  <si>
    <t>1.0l</t>
  </si>
  <si>
    <t>S&amp;S</t>
  </si>
  <si>
    <t>6d-TEMP</t>
  </si>
  <si>
    <t>Breite [mm]</t>
  </si>
  <si>
    <t>Leergewicht [kg]</t>
  </si>
  <si>
    <t>1.2 Fire 70</t>
  </si>
  <si>
    <t>Live</t>
  </si>
  <si>
    <t>Allure</t>
  </si>
  <si>
    <t>x, x-play,</t>
  </si>
  <si>
    <t>x-cite, x-clusiv,</t>
  </si>
  <si>
    <t>x-style</t>
  </si>
  <si>
    <t>Comfortline,</t>
  </si>
  <si>
    <t>Highline, Trendline,</t>
  </si>
  <si>
    <t>Sky</t>
  </si>
  <si>
    <t>Inform,</t>
  </si>
  <si>
    <t>Invite Connect</t>
  </si>
  <si>
    <t>GT-Line, Signature</t>
  </si>
  <si>
    <t>Style, Monte Carlo</t>
  </si>
  <si>
    <t>Clear, Shine</t>
  </si>
  <si>
    <t>advanced,</t>
  </si>
  <si>
    <t>S-line</t>
  </si>
  <si>
    <t>500C, 500S</t>
  </si>
  <si>
    <t>Mirror, Lounge, Pop</t>
  </si>
  <si>
    <t>Limited,</t>
  </si>
  <si>
    <t>La Parisienne</t>
  </si>
  <si>
    <t>Micro-Van</t>
  </si>
  <si>
    <t>Fiesta Coupe</t>
  </si>
  <si>
    <t>Ceed</t>
  </si>
  <si>
    <t>1.0 Ecoboost</t>
  </si>
  <si>
    <t>1.0 EcoBoost</t>
  </si>
  <si>
    <t>1.0 TGDI</t>
  </si>
  <si>
    <t>1.2 Turbo</t>
  </si>
  <si>
    <t>(4.9,112,103,140)</t>
  </si>
  <si>
    <t>1.0 ECO TSI</t>
  </si>
  <si>
    <t>1.5 TSI</t>
  </si>
  <si>
    <t>Active, Amibition,</t>
  </si>
  <si>
    <t>Feel, Shine, Live</t>
  </si>
  <si>
    <t>Trend, Titanium,</t>
  </si>
  <si>
    <t>ST-Line, Vignale</t>
  </si>
  <si>
    <t>Style, Xcellence,</t>
  </si>
  <si>
    <t>Active, ST-Line,</t>
  </si>
  <si>
    <t>Vignale</t>
  </si>
  <si>
    <t>Style, Xcellence</t>
  </si>
  <si>
    <t>Comfortline, Rabbit</t>
  </si>
  <si>
    <t>Takumi, Revolution</t>
  </si>
  <si>
    <t>Active, Style, GT-Line</t>
  </si>
  <si>
    <t>Access, Allure</t>
  </si>
  <si>
    <t>Zen, Limited,</t>
  </si>
  <si>
    <t>Intens, Life</t>
  </si>
  <si>
    <t>Level 1,2,3,4,5</t>
  </si>
  <si>
    <t>Gold, Silber,</t>
  </si>
  <si>
    <t>Titan, Platin</t>
  </si>
  <si>
    <t>Young, Active,</t>
  </si>
  <si>
    <t>Auch als 5-Türer</t>
  </si>
  <si>
    <t>Auch als Rapid</t>
  </si>
  <si>
    <t xml:space="preserve">Spaceback erhältlich </t>
  </si>
  <si>
    <t>Auch als 3-Türer</t>
  </si>
  <si>
    <t>Astra ST</t>
  </si>
  <si>
    <t>i30 CW</t>
  </si>
  <si>
    <t>1.0 VTEC</t>
  </si>
  <si>
    <t>Turbo</t>
  </si>
  <si>
    <t>TCe 100</t>
  </si>
  <si>
    <t>1.0 T-GDI</t>
  </si>
  <si>
    <t>1.5 Turbo</t>
  </si>
  <si>
    <t>A 200</t>
  </si>
  <si>
    <t>1.5 EcoBoost</t>
  </si>
  <si>
    <t>(5.5,125,134,182)</t>
  </si>
  <si>
    <t>1.5 VTEC Turbo</t>
  </si>
  <si>
    <t>1.4 TGDI ISG</t>
  </si>
  <si>
    <t>TCe 140</t>
  </si>
  <si>
    <t>TCe 160</t>
  </si>
  <si>
    <t>Comfort, Elegance,</t>
  </si>
  <si>
    <t>Executive, Dynamic,</t>
  </si>
  <si>
    <t>Edition, Dynamic,</t>
  </si>
  <si>
    <t>Active, Style,</t>
  </si>
  <si>
    <t>Ambiance, Supreme</t>
  </si>
  <si>
    <t>Active, Allure,</t>
  </si>
  <si>
    <t>GT Line</t>
  </si>
  <si>
    <t>Highline,</t>
  </si>
  <si>
    <t>Intens, Life, Bose</t>
  </si>
  <si>
    <t>GT-Line</t>
  </si>
  <si>
    <t>Level 2,3,4,5,6</t>
  </si>
  <si>
    <t>Innovation,</t>
  </si>
  <si>
    <t>Ultimate</t>
  </si>
  <si>
    <t>Ignis</t>
  </si>
  <si>
    <t>C3 Aircross</t>
  </si>
  <si>
    <t>T-Cross</t>
  </si>
  <si>
    <t>Arona</t>
  </si>
  <si>
    <t>EcoSport</t>
  </si>
  <si>
    <t>Kona</t>
  </si>
  <si>
    <t>SCe 75 S&amp;S</t>
  </si>
  <si>
    <t>1.0 T-GDi</t>
  </si>
  <si>
    <t>Life, Style</t>
  </si>
  <si>
    <t>ST-Line, Trend</t>
  </si>
  <si>
    <t>Trend, Titanium, Sport</t>
  </si>
  <si>
    <t>Visia, Acenta,</t>
  </si>
  <si>
    <t>Kompakt-Van</t>
  </si>
  <si>
    <t>DS Automobiles</t>
  </si>
  <si>
    <t>Crossland X</t>
  </si>
  <si>
    <t>C4 Spacetourer</t>
  </si>
  <si>
    <t>Grandland X</t>
  </si>
  <si>
    <t>C5 Aircross</t>
  </si>
  <si>
    <t>DS 7</t>
  </si>
  <si>
    <t>HR-V</t>
  </si>
  <si>
    <t>Ateca</t>
  </si>
  <si>
    <t xml:space="preserve">1.0 TSI </t>
  </si>
  <si>
    <t>PureTech 180</t>
  </si>
  <si>
    <t>1,5 i-VTEC</t>
  </si>
  <si>
    <t>1.6 Turbo</t>
  </si>
  <si>
    <t>Edition, Ultimate</t>
  </si>
  <si>
    <t>Highline, Comfortline</t>
  </si>
  <si>
    <t>Allure, Active,</t>
  </si>
  <si>
    <t>Access, GT Line,</t>
  </si>
  <si>
    <t>Crossway</t>
  </si>
  <si>
    <t>Be Chic, So Chic,</t>
  </si>
  <si>
    <t>Performance Line</t>
  </si>
  <si>
    <t>Reference, Style,</t>
  </si>
  <si>
    <t>Xcellence</t>
  </si>
  <si>
    <t>Highline, Sky</t>
  </si>
  <si>
    <t>Bose, Initiale</t>
  </si>
  <si>
    <t>1.5 TDCi</t>
  </si>
  <si>
    <t>Feel, Shine</t>
  </si>
  <si>
    <t>Black Edition</t>
  </si>
  <si>
    <t>Golf</t>
  </si>
  <si>
    <t>1.5 EcoBlue</t>
  </si>
  <si>
    <t>1.5 BlueHDi 130</t>
  </si>
  <si>
    <t>Blue dCi 95</t>
  </si>
  <si>
    <t>1.6 CRDi ISG</t>
  </si>
  <si>
    <t>1.5 TDCi SS</t>
  </si>
  <si>
    <t>Active, Allure, Access,</t>
  </si>
  <si>
    <t>Supreme, Stepway</t>
  </si>
  <si>
    <t>Auch als Clio</t>
  </si>
  <si>
    <t>Blue dCi 115</t>
  </si>
  <si>
    <t>1.6i-DTEC</t>
  </si>
  <si>
    <t>320d</t>
  </si>
  <si>
    <t>2.0 EcoBlue</t>
  </si>
  <si>
    <t>220d</t>
  </si>
  <si>
    <t>Limited, Intens,</t>
  </si>
  <si>
    <t>Bose, GT-Line</t>
  </si>
  <si>
    <t>Elegance, Executive,</t>
  </si>
  <si>
    <t>Countryman</t>
  </si>
  <si>
    <t>Blue HDi 100</t>
  </si>
  <si>
    <t>1.5 TDCi S&amp;S</t>
  </si>
  <si>
    <t>218d</t>
  </si>
  <si>
    <t>Länge entspricht</t>
  </si>
  <si>
    <t>Kadjar</t>
  </si>
  <si>
    <t>BlueHDi 130</t>
  </si>
  <si>
    <t>MultiJet 95 SCR</t>
  </si>
  <si>
    <t>Blue dCi 75</t>
  </si>
  <si>
    <t>1.5 CDTI</t>
  </si>
  <si>
    <t>Edition, Innovation,</t>
  </si>
  <si>
    <t>Allure, GT Line,</t>
  </si>
  <si>
    <t>Active, Crossway</t>
  </si>
  <si>
    <t>Spacetourer erhältlich</t>
  </si>
  <si>
    <t xml:space="preserve"> i3 120 Ah</t>
  </si>
  <si>
    <t xml:space="preserve"> i3 S 120 Ah</t>
  </si>
  <si>
    <t>Model 3 Performance</t>
  </si>
  <si>
    <t>EQ fortwo</t>
  </si>
  <si>
    <t>EQ forfour</t>
  </si>
  <si>
    <r>
      <t xml:space="preserve">Förderung </t>
    </r>
    <r>
      <rPr>
        <sz val="9"/>
        <rFont val="Calibri"/>
        <family val="2"/>
        <scheme val="minor"/>
      </rPr>
      <t>(Auto + Heimladestation)</t>
    </r>
    <r>
      <rPr>
        <sz val="10"/>
        <rFont val="Calibri"/>
        <family val="2"/>
        <scheme val="minor"/>
      </rPr>
      <t>:</t>
    </r>
  </si>
  <si>
    <r>
      <t xml:space="preserve">Heimladestation </t>
    </r>
    <r>
      <rPr>
        <sz val="9"/>
        <rFont val="Calibri"/>
        <family val="2"/>
        <scheme val="minor"/>
      </rPr>
      <t>(Investition Wallbox)</t>
    </r>
    <r>
      <rPr>
        <sz val="10"/>
        <rFont val="Calibri"/>
        <family val="2"/>
        <scheme val="minor"/>
      </rPr>
      <t>:</t>
    </r>
  </si>
  <si>
    <t>eigenes</t>
  </si>
  <si>
    <t>Die angeführten Verbrennungskraftfahrzeuge sind nicht vorsteuerabzugsfähig!</t>
  </si>
  <si>
    <t>HONDA</t>
  </si>
  <si>
    <t>Honda e</t>
  </si>
  <si>
    <t>Honda e Advance</t>
  </si>
  <si>
    <t>SKODA</t>
  </si>
  <si>
    <t>DS AUTOMOBILES</t>
  </si>
  <si>
    <t>Mercedes-Benz</t>
  </si>
  <si>
    <t>EQC 400 4MATIC</t>
  </si>
  <si>
    <t>Corsa-e-EDITION</t>
  </si>
  <si>
    <t>Corsa-e-ELEGANCE</t>
  </si>
  <si>
    <t>Master Z.E. Kastenwagen L1H1 3-Sitzer</t>
  </si>
  <si>
    <t>Master Z.E. Kastenwagen L1H2 3-Sitzer</t>
  </si>
  <si>
    <t>Master Z.E. Kastenwagen L2H2 3-Sitzer</t>
  </si>
  <si>
    <t>Master Z.E. Kastenwagen L3H2 3-Sitzer</t>
  </si>
  <si>
    <t>SEAT</t>
  </si>
  <si>
    <t>Mii electric</t>
  </si>
  <si>
    <t>Mii electric PLUS</t>
  </si>
  <si>
    <t>e-Niro (TITAN)</t>
  </si>
  <si>
    <t>e-Niro Long Range (TITAN)</t>
  </si>
  <si>
    <t>e-Niro (SILBER)</t>
  </si>
  <si>
    <t>e-Niro Long Range (SILBER)</t>
  </si>
  <si>
    <t>e-Niro (GOLD)</t>
  </si>
  <si>
    <t>e-Niro Long Range (GOLD)</t>
  </si>
  <si>
    <t>e-Niro (PLATIN)</t>
  </si>
  <si>
    <t>e-Niro Long Range (PLATIN)</t>
  </si>
  <si>
    <t>e-208 (ACTIVE)</t>
  </si>
  <si>
    <t>e-208 (ALLURE)</t>
  </si>
  <si>
    <t>e-208 (GT)</t>
  </si>
  <si>
    <t>e-2008 (ACTIVE)</t>
  </si>
  <si>
    <t>e-2008 (ALLURE)</t>
  </si>
  <si>
    <t>e-2008 (GT)</t>
  </si>
  <si>
    <t>EQ fortwo cabrio</t>
  </si>
  <si>
    <t>PORSCHE</t>
  </si>
  <si>
    <t>DS 3 CROSSBACK &amp; E-TENSE (SO CHIC)</t>
  </si>
  <si>
    <t>DS 3 CROSSBACK &amp; E-TENSE (PERFORMANCE LINE)</t>
  </si>
  <si>
    <t>e-NV200 Kastenwagen 2-Sitzer (PRO)</t>
  </si>
  <si>
    <t>e-NV200 Kastenwagen 2-Sitzer (COMFORT)</t>
  </si>
  <si>
    <t>e-NV200 Kastenwagen 2-Sitzer (PREMIUM)</t>
  </si>
  <si>
    <t>e-NV200 EVALIA 5-Sitzer/7-Sitzer</t>
  </si>
  <si>
    <t>e-tron (50 quattro)</t>
  </si>
  <si>
    <t>e-tron (55 quattro)</t>
  </si>
  <si>
    <t>e-tron advanced (50 quattro)</t>
  </si>
  <si>
    <t>e-tron advanced (55 quattro)</t>
  </si>
  <si>
    <t>e-Soul (TITAN)</t>
  </si>
  <si>
    <t>e-Soul (SILBER)</t>
  </si>
  <si>
    <t>e-Soul (GOLD)</t>
  </si>
  <si>
    <t>e-Soul (PLATIN)</t>
  </si>
  <si>
    <t>e-Soul Long Range (TITAN)</t>
  </si>
  <si>
    <t>e-Soul Long Range (SILBER)</t>
  </si>
  <si>
    <t>e-Soul Long Range (GOLD)</t>
  </si>
  <si>
    <t>e-Soul Long Range (PLATIN)</t>
  </si>
  <si>
    <t>Info zur Akkugarantie: 5 Jahre bis 100.000 km</t>
  </si>
  <si>
    <t>ZOE ZEN R110</t>
  </si>
  <si>
    <t>ZOE ZEN R135</t>
  </si>
  <si>
    <t>ZOE INTENS R135</t>
  </si>
  <si>
    <t>Batteriemiete und Berechnung "Renault Zoe - 40kWh/50 Batterie"</t>
  </si>
  <si>
    <t>Model S Maximale Reichweite</t>
  </si>
  <si>
    <t>Model 3 Maximale Reichweite</t>
  </si>
  <si>
    <t>Model 3 Standard-Reichweite Plus</t>
  </si>
  <si>
    <t>Model X Maximale Reichweite</t>
  </si>
  <si>
    <t>IONIQ Elektro (LEVEL 3)</t>
  </si>
  <si>
    <t>IONIQ Elektro (LEVEL 4)</t>
  </si>
  <si>
    <t>IONIQ Elektro (LEVEL 5)</t>
  </si>
  <si>
    <t>IONIQ Elektro (LEVEL 6)</t>
  </si>
  <si>
    <t>Taycan Turbo</t>
  </si>
  <si>
    <t>Taycan Turbo S</t>
  </si>
  <si>
    <t>ab April 2020</t>
  </si>
  <si>
    <t>(WLTP-Wert)</t>
  </si>
  <si>
    <t>(NEFZ-Wert)</t>
  </si>
  <si>
    <t>bis März 2020</t>
  </si>
  <si>
    <t>KONA LEVEL 3 (39,2 kWh)</t>
  </si>
  <si>
    <t>KONA LEVEL 4 (39,2 kWh)</t>
  </si>
  <si>
    <t>KONA LEVEL 5 (39,2 kWh)</t>
  </si>
  <si>
    <t>KONA LEVEL 6 (64 kWh)</t>
  </si>
  <si>
    <t>KONA LEVEL 4 (64 kWh)</t>
  </si>
  <si>
    <t>KONA LEVEL 5 (64 kWh)</t>
  </si>
  <si>
    <t>pes_</t>
  </si>
  <si>
    <r>
      <t>Für Kraftfahrzeuge mit einem CO</t>
    </r>
    <r>
      <rPr>
        <vertAlign val="subscript"/>
        <sz val="10"/>
        <rFont val="Calibri"/>
        <family val="2"/>
        <scheme val="minor"/>
      </rPr>
      <t>2</t>
    </r>
    <r>
      <rPr>
        <sz val="10"/>
        <rFont val="Calibri"/>
        <family val="2"/>
        <scheme val="minor"/>
      </rPr>
      <t>-Emmissionswert von 0g/km gilt seit dem Kalenderjahr 2016 ein Sachbezugswert von Null.</t>
    </r>
  </si>
  <si>
    <t>Der Ladewirkungsgrad Li-Ion mit 0,95 angenommen.</t>
  </si>
  <si>
    <r>
      <t>Das Fahrzeug wird zu 100% mit Ökostrom betrieben (direkte CO</t>
    </r>
    <r>
      <rPr>
        <vertAlign val="subscript"/>
        <sz val="10"/>
        <rFont val="Calibri"/>
        <family val="2"/>
        <scheme val="minor"/>
      </rPr>
      <t>2</t>
    </r>
    <r>
      <rPr>
        <sz val="10"/>
        <rFont val="Calibri"/>
        <family val="2"/>
        <scheme val="minor"/>
      </rPr>
      <t>-Emissionen eines Elektroautos liegen bei Versorgung mittels Ökostrom bei 0g CO</t>
    </r>
    <r>
      <rPr>
        <vertAlign val="subscript"/>
        <sz val="10"/>
        <rFont val="Calibri"/>
        <family val="2"/>
        <scheme val="minor"/>
      </rPr>
      <t>2</t>
    </r>
    <r>
      <rPr>
        <sz val="10"/>
        <rFont val="Calibri"/>
        <family val="2"/>
        <scheme val="minor"/>
      </rPr>
      <t>/km).</t>
    </r>
  </si>
  <si>
    <t>Das Fahrzeug wird nach 12 Jahren außer Betrieb gesetzt wird (Restwert = 0).</t>
  </si>
  <si>
    <t>Dieses Feld bietet die Möglichkeit eine Akku-Reinvestition einzugeben - die Kosten liegen dzt. bei 200€/kWh.</t>
  </si>
  <si>
    <t>Alle weißen Felder sind veränderbar und mit überschreibbaren Defaultwerten befüllt.
Tragen Sie in der ersten Kategorie "Fahrzeugwahl" die allgemeinen Eingaben ein und wählen Sie ein Fahrzeug, das Sie vergleichen wollen, aus. Scrollen Sie nach unten und kontrollieren Sie die Defaultwerte aus den Kategorien 2-5. Passen Sie diese Ihren individuellen Gegebenheiten an und entnehmen Sie aus den Grafiken die Ergebnisse.
Viel Erfolg wünscht Ihnen
Ihr strommobil-team</t>
  </si>
  <si>
    <r>
      <t>CITIGO</t>
    </r>
    <r>
      <rPr>
        <vertAlign val="superscript"/>
        <sz val="10"/>
        <rFont val="Calibri"/>
        <family val="2"/>
        <scheme val="minor"/>
      </rPr>
      <t>e</t>
    </r>
    <r>
      <rPr>
        <sz val="10"/>
        <rFont val="Calibri"/>
        <family val="2"/>
        <scheme val="minor"/>
      </rPr>
      <t xml:space="preserve"> iV</t>
    </r>
  </si>
  <si>
    <t>JAGUAR</t>
  </si>
  <si>
    <t>I-PACE S</t>
  </si>
  <si>
    <t>I-PACE SE</t>
  </si>
  <si>
    <t>I-PACE HSE</t>
  </si>
  <si>
    <t>Taycan 4S</t>
  </si>
  <si>
    <t>Q3 35 TFSi</t>
  </si>
  <si>
    <t>X3 xDrive20d</t>
  </si>
  <si>
    <t>Edge</t>
  </si>
  <si>
    <t>CR-V</t>
  </si>
  <si>
    <t>Tucson</t>
  </si>
  <si>
    <t>PLATIN</t>
  </si>
  <si>
    <t>CX-30</t>
  </si>
  <si>
    <t>Tarraca</t>
  </si>
  <si>
    <t>Tiguan</t>
  </si>
  <si>
    <t>Q7</t>
  </si>
  <si>
    <t>Clubman Cooper</t>
  </si>
  <si>
    <t>SX4 S-Cross</t>
  </si>
  <si>
    <t>IONIQ PHEV</t>
  </si>
  <si>
    <t>X3 xDrive30e</t>
  </si>
  <si>
    <t>XC60 B4</t>
  </si>
  <si>
    <t>XC60 B4 AWD</t>
  </si>
  <si>
    <t>Link</t>
  </si>
  <si>
    <t>Werte ab 01.10.2020</t>
  </si>
  <si>
    <t>CO2</t>
  </si>
  <si>
    <t>€ pro g/km ab</t>
  </si>
  <si>
    <t>g/km</t>
  </si>
  <si>
    <t xml:space="preserve">€ pro kW ab </t>
  </si>
  <si>
    <t>kW</t>
  </si>
  <si>
    <t>Motorbezogene Versicherungssteuer NEU</t>
  </si>
  <si>
    <t>Berechung NEU</t>
  </si>
  <si>
    <t>Leistung Grenzwert</t>
  </si>
  <si>
    <t>Jahr</t>
  </si>
  <si>
    <t>e-tron business (50 quattro)</t>
  </si>
  <si>
    <t>e-tron business (55 quattro)</t>
  </si>
  <si>
    <t>e-tron S line (50 quattro)</t>
  </si>
  <si>
    <t xml:space="preserve">e-tron S </t>
  </si>
  <si>
    <t>e-tron S line (55 quattro)</t>
  </si>
  <si>
    <t>e-tron Sportback (50 quattro)</t>
  </si>
  <si>
    <t>e-tron Sportback (55 quattro)</t>
  </si>
  <si>
    <t>e-tron Sportback advanced 
(50 quattro)</t>
  </si>
  <si>
    <t>e-tron Sportback advanced 
(55 quattro)</t>
  </si>
  <si>
    <t>e-tron Sportback S line 
(50 quattro)</t>
  </si>
  <si>
    <t>e-tron Sportback S line
(55 quattro)</t>
  </si>
  <si>
    <t xml:space="preserve">e-tron S Sportback </t>
  </si>
  <si>
    <t>iX3 (Modell INSPIRING)</t>
  </si>
  <si>
    <t>iX3 (Modell IMPRESSIVE)</t>
  </si>
  <si>
    <t>e-SpaceTourer (Shine) M 
(Batterie 50kWh)</t>
  </si>
  <si>
    <t>e-SpaceTourer (Shine) M 
(Batterie 75kWh)</t>
  </si>
  <si>
    <t>e-SpaceTourer (Shine) XL 
(Batterie 50kWh)</t>
  </si>
  <si>
    <t>e-SpaceTourer (Shine) XL 
(Batterie 75kWh)</t>
  </si>
  <si>
    <t>e-SpaceTourer (Business) M 
(Batterie 50kWh)</t>
  </si>
  <si>
    <t>e-SpaceTourer (Business) M 
(Batterie 75kWh)</t>
  </si>
  <si>
    <t>e-SpaceTourer (Business) XL 
(Batterie 50kWh)</t>
  </si>
  <si>
    <t>e-SpaceTourer (Business) XL 
(Batterie 75kWh)</t>
  </si>
  <si>
    <t>e-C4 (Feel)</t>
  </si>
  <si>
    <t>e-C4 (Shine)</t>
  </si>
  <si>
    <t>e-C4 (Shine edition)</t>
  </si>
  <si>
    <t>e-SpaceTourer (Feel) XS 
(Batterie 50kWh)</t>
  </si>
  <si>
    <t>e-SpaceTourer (Feel) M 
(Batterie 50kWh)</t>
  </si>
  <si>
    <t>e-SpaceTourer (Feel) XL 
(Batterie 75kWh)</t>
  </si>
  <si>
    <t>e-SpaceTourer (Business Lounge) M 
(Batterie 75kWh)</t>
  </si>
  <si>
    <t>e-SpaceTourer (Business Lounge) XL 
(Batterie 75kWh)</t>
  </si>
  <si>
    <t>FIAT</t>
  </si>
  <si>
    <t>500 electric HATCHBACK (Action)</t>
  </si>
  <si>
    <t>500 electric HATCHBACK (Passion)</t>
  </si>
  <si>
    <t>500 electric HATCHBACK (Icon)</t>
  </si>
  <si>
    <t>500 electric HATCHBACK (La Prima)</t>
  </si>
  <si>
    <t>500 electric 3+1 (Passion)</t>
  </si>
  <si>
    <t>500 electric 3+1 (Icon)</t>
  </si>
  <si>
    <t>500 electric 3+1 (La Prima)</t>
  </si>
  <si>
    <t>500 electric Cabrio (Passion)</t>
  </si>
  <si>
    <t>500 electric Cabrio (Icon)</t>
  </si>
  <si>
    <t>500 electric Cabrio (La Prima)</t>
  </si>
  <si>
    <t>Mustang Mach-E (Batterie Standard Range)</t>
  </si>
  <si>
    <t>Mustang Mach-E (Batterie Extended Range)</t>
  </si>
  <si>
    <t>Mustang Mach-E AWD (Batterie Standard Range)</t>
  </si>
  <si>
    <t>Mustang Mach-E AWD (Batterie Extended Range)</t>
  </si>
  <si>
    <t>I-PACE AUSTRIA EDITION</t>
  </si>
  <si>
    <t>MAZDA</t>
  </si>
  <si>
    <t>MX-30 GTE</t>
  </si>
  <si>
    <t>MX-30 GTE +</t>
  </si>
  <si>
    <t>EQA 250</t>
  </si>
  <si>
    <t>MINI</t>
  </si>
  <si>
    <t>Cooper SE</t>
  </si>
  <si>
    <t>Leaf Visia</t>
  </si>
  <si>
    <t xml:space="preserve">Leaf e+ Acenta </t>
  </si>
  <si>
    <t>Leaf e+ N-Connecta</t>
  </si>
  <si>
    <t xml:space="preserve">Leaf e+ Tekna </t>
  </si>
  <si>
    <t>e-NV200 Kastenwagen 2-Sitzer (COMFORT Kombi)</t>
  </si>
  <si>
    <t>Corsa-e-GS-LINE</t>
  </si>
  <si>
    <t>Mokka-e</t>
  </si>
  <si>
    <t>Mokka-e-EDITION</t>
  </si>
  <si>
    <t>Mokka-e-ELEGANCE</t>
  </si>
  <si>
    <t>Mokka-e-GS-LINE</t>
  </si>
  <si>
    <t>Mokka-e-ULTIMATE</t>
  </si>
  <si>
    <t>Zafira-e-Edition (50 kWh) Länge S</t>
  </si>
  <si>
    <t>Zafira-e-Edition (50 kWh) Länge M</t>
  </si>
  <si>
    <t>Zafira-e-Edition (50 kWh) Länge L</t>
  </si>
  <si>
    <t>Zafira-e-Edition (75 kWh) Länge S</t>
  </si>
  <si>
    <t>Zafira-e-Edition (75 kWh) Länge M</t>
  </si>
  <si>
    <t>Zafira-e-Edition (75 kWh) Länge L</t>
  </si>
  <si>
    <t>Zafira-e-Elegance (50 kWh) Länge S</t>
  </si>
  <si>
    <t>Zafira-e-Elegance (50 kWh) Länge M</t>
  </si>
  <si>
    <t>Zafira-e-Elegance (50 kWh) Länge L</t>
  </si>
  <si>
    <t>Zafira-e-Elegance (75 kWh) Länge S</t>
  </si>
  <si>
    <t>Zafira-e-Elegance (75 kWh) Länge M</t>
  </si>
  <si>
    <t>Zafira-e-Elegance (75 kWh) Länge L</t>
  </si>
  <si>
    <t>Zafira-e-Business Edition (50 kWh) Länge M</t>
  </si>
  <si>
    <t>Zafira-e-Business Edition (50 kWh) Länge L</t>
  </si>
  <si>
    <t>Zafira-e-Business Edition (50 kWh) Länge S</t>
  </si>
  <si>
    <t>Zafira-e-Business Edition (75 kWh) Länge L</t>
  </si>
  <si>
    <t>Zafira-e-Business Edition (75 kWh) Länge S</t>
  </si>
  <si>
    <t>Zafira-e-Business Edition (75 kWh) Länge M</t>
  </si>
  <si>
    <t>Zafira-e-Business Elegance Edition (50 kWh) Länge S</t>
  </si>
  <si>
    <t>Zafira-e-Business Elegance Edition (50 kWh) Länge M</t>
  </si>
  <si>
    <t>Zafira-e-Business Elegance Edition (50 kWh) Länge L</t>
  </si>
  <si>
    <t>Zafira-e-Business Elegance Edition (75 kWh) Länge S</t>
  </si>
  <si>
    <t>Zafira-e-Business Elegance Edition (75 kWh) Länge M</t>
  </si>
  <si>
    <t>Zafira-e-Business Elegance Edition (75 kWh) Länge L</t>
  </si>
  <si>
    <t>e-208 (ACTIVE PACK)</t>
  </si>
  <si>
    <t>e-208 (ALLURE PACK)</t>
  </si>
  <si>
    <t>e-208 (GT PACK)</t>
  </si>
  <si>
    <t>e-2008 (ACTIVE PACK)</t>
  </si>
  <si>
    <t>e-2008 (ALLURE PACK)</t>
  </si>
  <si>
    <t>e-2008 (GT PACK)</t>
  </si>
  <si>
    <t>e-TRAVELLER (ACTIVE) Kompakt L1</t>
  </si>
  <si>
    <t>e-TRAVELLER (ACTIVE) Standard L2</t>
  </si>
  <si>
    <t>e-TRAVELLER (ACTIVE) Lang L3</t>
  </si>
  <si>
    <t>e-TRAVELLER (ALLURE) Standard L2 (50 kWh)</t>
  </si>
  <si>
    <t>e-TRAVELLER (ALLURE) Standard L2 (75 kWh)</t>
  </si>
  <si>
    <t>e-TRAVELLER (ALLURE) Lang L3 (50 kWh)</t>
  </si>
  <si>
    <t>e-TRAVELLER (ALLURE) Lang L3 (75 kWh)</t>
  </si>
  <si>
    <t>e-TRAVELLER (BUSINESS) Standard L2 (50 kWh)</t>
  </si>
  <si>
    <t>e-TRAVELLER (BUSINESS) Standard L2 (75 kWh)</t>
  </si>
  <si>
    <t>e-TRAVELLER (BUSINESS) Lang L3 (75 kWh)</t>
  </si>
  <si>
    <t>e-TRAVELLER (BUSINESS VIP) Standard L2 (75 kWh)</t>
  </si>
  <si>
    <t>e-TRAVELLER (BUSINESS VIP) Lang L3 (75 kWh)</t>
  </si>
  <si>
    <t xml:space="preserve">Taycan </t>
  </si>
  <si>
    <t>ZOE LIFE R110 Z.E. 40</t>
  </si>
  <si>
    <t>ZOE LIFE R110 Z.E. 50</t>
  </si>
  <si>
    <t>ZOE RIVIERA R135</t>
  </si>
  <si>
    <t>Kangoo Z.E. COMPLETE 2-Sitzer</t>
  </si>
  <si>
    <t>Kangoo Maxi Z.E. COMPLETE 2-Sitzer</t>
  </si>
  <si>
    <t>Kangoo Maxi Z.E. COMPLETE 5-Sitzer</t>
  </si>
  <si>
    <t>Master Z.E. Plattform L2 3-Sitzer</t>
  </si>
  <si>
    <t>Master Z.E. Plattform L3 3-Sitzer</t>
  </si>
  <si>
    <t>Master Z.E. Fahrgestell L2 3-Sitzer</t>
  </si>
  <si>
    <t>Master Z.E. Fahrgestell L3 3-Sitzer</t>
  </si>
  <si>
    <t>TWINGO Electric (LIFE)</t>
  </si>
  <si>
    <t>TWINGO Electric (ZEN)</t>
  </si>
  <si>
    <t>TWINGO Electric (INTENS)</t>
  </si>
  <si>
    <t>TWINGO Electric (VIBES)</t>
  </si>
  <si>
    <t>Enyaq iV 60</t>
  </si>
  <si>
    <t>Enyaq iV 80</t>
  </si>
  <si>
    <t>ID.4 Pro Performance Basis</t>
  </si>
  <si>
    <t>ID.4 Pro Performance Life</t>
  </si>
  <si>
    <t>ID.4 Pro Performance Business</t>
  </si>
  <si>
    <t>ID.4 Pro Performance Family</t>
  </si>
  <si>
    <t>ID.4 Pro Performance Tech</t>
  </si>
  <si>
    <t>ID.4 Pro Performance Max</t>
  </si>
  <si>
    <t>ID.3 Pure Performance Upgrade (45 kWh) Basis</t>
  </si>
  <si>
    <t>ID.3 Pure Performance Upgrade (45 kWh) City</t>
  </si>
  <si>
    <t>ID.3 Pure Performance Upgrade (45 kWh) Style</t>
  </si>
  <si>
    <t>ID.3 Pro (58 kWh) Basis</t>
  </si>
  <si>
    <t>ID.3 Pro (58 kWh) Life</t>
  </si>
  <si>
    <t>ID.3 Pro (58 kWh) Business</t>
  </si>
  <si>
    <t>ID.3 Pro (58 kWh) Family</t>
  </si>
  <si>
    <t>ID.3 Pure Performance Upgrade (58 kWh) Basis</t>
  </si>
  <si>
    <t>ID.3 Pure Performance Upgrade (58 kWh) Life</t>
  </si>
  <si>
    <t>ID.3 Pure Performance Upgrade (58 kWh) Max</t>
  </si>
  <si>
    <t>ID.3 Pure Performance Upgrade (58 kWh) Tech</t>
  </si>
  <si>
    <t>ID.3 Pure Performance Upgrade (58 kWh) Family</t>
  </si>
  <si>
    <t>ID.3 Pure Performance Upgrade (58 kWh) Business</t>
  </si>
  <si>
    <t>ID.3 Pro S (77 kWh) Basis</t>
  </si>
  <si>
    <t>ID.3 Pro S (77 kWh) Tour</t>
  </si>
  <si>
    <t>377 oder 324</t>
  </si>
  <si>
    <t>Model S Plaid</t>
  </si>
  <si>
    <t>Model S Plaid+</t>
  </si>
  <si>
    <t>Model X Plaid</t>
  </si>
  <si>
    <t>Picanto</t>
  </si>
  <si>
    <t>Micra</t>
  </si>
  <si>
    <t>Mini 3-Türer</t>
  </si>
  <si>
    <t>1.0 MIVEC AS&amp;G</t>
  </si>
  <si>
    <t>SCe 75</t>
  </si>
  <si>
    <t>25 TSFI</t>
  </si>
  <si>
    <t>1.0 IGT 100</t>
  </si>
  <si>
    <t>One First</t>
  </si>
  <si>
    <t>Dualogic</t>
  </si>
  <si>
    <t>6d-TEMP-EVAP</t>
  </si>
  <si>
    <t>6d-TEMP-EVAP-ISC</t>
  </si>
  <si>
    <t>1.2l (5.2,117,62,84)</t>
  </si>
  <si>
    <t>(5.3, 121, 59, 80)</t>
  </si>
  <si>
    <t>1.2 MPI ISG</t>
  </si>
  <si>
    <t>(5.6,126,62,84)</t>
  </si>
  <si>
    <t>TCe 95</t>
  </si>
  <si>
    <t>(5.3,119,68,93)</t>
  </si>
  <si>
    <t>(5.8,132,44,60)</t>
  </si>
  <si>
    <t>(5.3,120,85,115)</t>
  </si>
  <si>
    <t>30 TSFI</t>
  </si>
  <si>
    <t>(4.8,122,85,116)</t>
  </si>
  <si>
    <t>DIG-T 117</t>
  </si>
  <si>
    <t>(5.9,133,86,117)</t>
  </si>
  <si>
    <t>(5.8,131,81,110)</t>
  </si>
  <si>
    <t>1.5 VVT-i</t>
  </si>
  <si>
    <t>(6.0,135,82,111)</t>
  </si>
  <si>
    <t>One (5.0,114,75,102),</t>
  </si>
  <si>
    <t>(5.0,115,100,136)</t>
  </si>
  <si>
    <t>Allure, Collection</t>
  </si>
  <si>
    <t>Feel, Shine, Origins</t>
  </si>
  <si>
    <t>Level 1,2,3,4</t>
  </si>
  <si>
    <t>Neon, Titan, Silber,</t>
  </si>
  <si>
    <t>Gold, GT-Line, X-Line</t>
  </si>
  <si>
    <t>Life, Intens, Zen</t>
  </si>
  <si>
    <t>black style,</t>
  </si>
  <si>
    <t>white style,</t>
  </si>
  <si>
    <t>R-Line, GTI</t>
  </si>
  <si>
    <t>Visia, Acenta, Tekna,</t>
  </si>
  <si>
    <t>N-Connecta,</t>
  </si>
  <si>
    <t>Visia Plus</t>
  </si>
  <si>
    <t>Salt, Pepper, Chili</t>
  </si>
  <si>
    <t>Lounge, Sport</t>
  </si>
  <si>
    <t>Star, Rockstar</t>
  </si>
  <si>
    <t>Auch als 5-Sitzer</t>
  </si>
  <si>
    <t>Hybrid-Variante</t>
  </si>
  <si>
    <t>Corsa</t>
  </si>
  <si>
    <t>Scala</t>
  </si>
  <si>
    <t>Direct Injection</t>
  </si>
  <si>
    <t>G75 Life</t>
  </si>
  <si>
    <t>1.5 TSI ACT</t>
  </si>
  <si>
    <t>1.2l</t>
  </si>
  <si>
    <t>PureTech 75</t>
  </si>
  <si>
    <t>1.0 TGDI GPF ISG</t>
  </si>
  <si>
    <t>6d</t>
  </si>
  <si>
    <t>1.1l</t>
  </si>
  <si>
    <t>(5.3,120,55,75)</t>
  </si>
  <si>
    <t>(5.1,115,70,95)</t>
  </si>
  <si>
    <t>(5.6,127,92,125)</t>
  </si>
  <si>
    <t>(5.5, 124, 92, 125)</t>
  </si>
  <si>
    <t>(5.9,133,92,125)</t>
  </si>
  <si>
    <t>(6.3,142,110,150)</t>
  </si>
  <si>
    <t>1.2 TDI</t>
  </si>
  <si>
    <t>(5.3,120,96,130)</t>
  </si>
  <si>
    <t>(5.3,120,107,145)</t>
  </si>
  <si>
    <t>(5.3,120,66,90)</t>
  </si>
  <si>
    <t>(5.1,116,74,100)</t>
  </si>
  <si>
    <t>TCe 130</t>
  </si>
  <si>
    <t>(5.7,130,96,130)</t>
  </si>
  <si>
    <t>1.0 (5.4,123,44,60)</t>
  </si>
  <si>
    <t>(5.5,123,70,95)</t>
  </si>
  <si>
    <t>(5.4,122,85,115)</t>
  </si>
  <si>
    <t>1.0 (4.9,112,59,80)</t>
  </si>
  <si>
    <t>1.2 (5.5,124,74,100)</t>
  </si>
  <si>
    <t>1.2 (5.6,128,96,130)</t>
  </si>
  <si>
    <t>PureTech 100</t>
  </si>
  <si>
    <t>(5.4,123,74,101)</t>
  </si>
  <si>
    <t>(5.6,127,96,131)</t>
  </si>
  <si>
    <t>1.25l</t>
  </si>
  <si>
    <t>(5.9,133,55,75)</t>
  </si>
  <si>
    <t>(5.8,132,62,84)</t>
  </si>
  <si>
    <t>(5.6,137,88,120)</t>
  </si>
  <si>
    <t>1.25 MPI ISG</t>
  </si>
  <si>
    <t>(5.8,133,88,120)</t>
  </si>
  <si>
    <t>(5.6,126,88,120)</t>
  </si>
  <si>
    <t>1.4 TGDI GPF ISG</t>
  </si>
  <si>
    <t>(5.9,135,103,140)</t>
  </si>
  <si>
    <t>(5.5,124,85,115)</t>
  </si>
  <si>
    <t>(5.7,130,110,150)</t>
  </si>
  <si>
    <t>Trend, Cool-Connect,</t>
  </si>
  <si>
    <t>Titanium, ST-Line</t>
  </si>
  <si>
    <t>Vignale, Cool-Connect</t>
  </si>
  <si>
    <t>Edition, GS-Line,</t>
  </si>
  <si>
    <t>Elegance, Ultimate</t>
  </si>
  <si>
    <t>Life, Takumi,</t>
  </si>
  <si>
    <t>Takumi Plus</t>
  </si>
  <si>
    <t>Life, Zen, Intens,</t>
  </si>
  <si>
    <t>R.S. Line, Initiale</t>
  </si>
  <si>
    <t>Highline, GTI</t>
  </si>
  <si>
    <t>Fast Lane, Style,</t>
  </si>
  <si>
    <t>Xcellence,FR</t>
  </si>
  <si>
    <t>Style, FR</t>
  </si>
  <si>
    <t>Life</t>
  </si>
  <si>
    <t>Edition, Elegance,</t>
  </si>
  <si>
    <t>GS-Line</t>
  </si>
  <si>
    <t>Like, Active, Allure</t>
  </si>
  <si>
    <t>GT-Line, GT</t>
  </si>
  <si>
    <t>Gold, GT-Line</t>
  </si>
  <si>
    <t>Titan, Silber,Gold</t>
  </si>
  <si>
    <t>Platin, GT-Line, GT</t>
  </si>
  <si>
    <t>Focus Turnier</t>
  </si>
  <si>
    <t>Octavia Combi</t>
  </si>
  <si>
    <t>i30 Combi</t>
  </si>
  <si>
    <t>Logan MCV</t>
  </si>
  <si>
    <t>Passat</t>
  </si>
  <si>
    <t>Corolla Kombi</t>
  </si>
  <si>
    <t>Superb</t>
  </si>
  <si>
    <t>A 180</t>
  </si>
  <si>
    <t>6d ISC-FCM</t>
  </si>
  <si>
    <t>(5.6,126,92,125)</t>
  </si>
  <si>
    <t>(5.8,132,110,150)</t>
  </si>
  <si>
    <t>(6.0,137,134,182)</t>
  </si>
  <si>
    <t>(5.7, 129, 110, 150)</t>
  </si>
  <si>
    <t>(5.4,122,96,130)</t>
  </si>
  <si>
    <t>(5.4,122,107,145)</t>
  </si>
  <si>
    <t>1.5 DPI</t>
  </si>
  <si>
    <t>(6.0,137,81,110)</t>
  </si>
  <si>
    <t>(5.6,128, 96, 131)</t>
  </si>
  <si>
    <t>(5.7, 130, 110, 150)</t>
  </si>
  <si>
    <t>(6.1,139,134,182)</t>
  </si>
  <si>
    <t>TCe 90 S&amp;S</t>
  </si>
  <si>
    <t>(5.9,133,66,90)</t>
  </si>
  <si>
    <t>(5.8,131,120,163)</t>
  </si>
  <si>
    <t>2.0 TSI</t>
  </si>
  <si>
    <t>(7.6,171,140,190)</t>
  </si>
  <si>
    <t>(5.8, 130, 96, 131)</t>
  </si>
  <si>
    <t>(6.0,136,103,140)</t>
  </si>
  <si>
    <t>(6.2,140,117,159)</t>
  </si>
  <si>
    <t>1.5 TDI</t>
  </si>
  <si>
    <t>(6.1,138,121,165)</t>
  </si>
  <si>
    <t>Business, Premium</t>
  </si>
  <si>
    <t>Edition, GS Line,</t>
  </si>
  <si>
    <t>Titan, Silber, Gold,</t>
  </si>
  <si>
    <t>Executive, Sport, S</t>
  </si>
  <si>
    <t>Access, Essential,</t>
  </si>
  <si>
    <t>Comfort, Stepway,</t>
  </si>
  <si>
    <t>Celebration</t>
  </si>
  <si>
    <t>Business, Elegance</t>
  </si>
  <si>
    <t>Access, Allure,</t>
  </si>
  <si>
    <t>GT-Line, Limited</t>
  </si>
  <si>
    <t>Young, Active, Style</t>
  </si>
  <si>
    <t>Style, Sportline</t>
  </si>
  <si>
    <t>Allure, GT Line</t>
  </si>
  <si>
    <t>1.2 Dualjet AGS</t>
  </si>
  <si>
    <t>1.4 DITC</t>
  </si>
  <si>
    <t>(5.8,131,85,115)</t>
  </si>
  <si>
    <t>(6.0,137,85,115)</t>
  </si>
  <si>
    <t>(6.0,135,92,125)</t>
  </si>
  <si>
    <t>(6.3,141,96,130)</t>
  </si>
  <si>
    <t>(6.6,148,96,130)</t>
  </si>
  <si>
    <t>Reference, FR</t>
  </si>
  <si>
    <t>Easy, Lounge</t>
  </si>
  <si>
    <t>Titanium,</t>
  </si>
  <si>
    <t>Cool &amp; Connect</t>
  </si>
  <si>
    <t>Edition One, Initiale</t>
  </si>
  <si>
    <t>N-Connecta, Tekna,</t>
  </si>
  <si>
    <t>N-Design</t>
  </si>
  <si>
    <t>Feel, Shine, C-Series</t>
  </si>
  <si>
    <t>Level 2,3,4,6</t>
  </si>
  <si>
    <t>clear, shine</t>
  </si>
  <si>
    <t>Duster</t>
  </si>
  <si>
    <t>Karoq</t>
  </si>
  <si>
    <t>Grand C4 Spacetourer</t>
  </si>
  <si>
    <t>2er Gran Tourer</t>
  </si>
  <si>
    <t>Alhambra</t>
  </si>
  <si>
    <t>216i</t>
  </si>
  <si>
    <t>AMT6</t>
  </si>
  <si>
    <t>(5.7,1130,96,131)</t>
  </si>
  <si>
    <t>(6.5,147,110,150)</t>
  </si>
  <si>
    <t>(6.6,149,96,130)</t>
  </si>
  <si>
    <t>TCe 150</t>
  </si>
  <si>
    <t>(7.1,162,110,150)</t>
  </si>
  <si>
    <t>(6.1,138,81,110)</t>
  </si>
  <si>
    <t>(5.9,134,96,130)</t>
  </si>
  <si>
    <t>(6.3,144,110,150)</t>
  </si>
  <si>
    <t>(7.2,163,133,181)</t>
  </si>
  <si>
    <t>218i</t>
  </si>
  <si>
    <t>(6.5,146,103,140)</t>
  </si>
  <si>
    <t>220i</t>
  </si>
  <si>
    <t>(6.8,154,141,192)</t>
  </si>
  <si>
    <t>(6.6,150,117,160)</t>
  </si>
  <si>
    <t>(6.4,145,110,150)</t>
  </si>
  <si>
    <t>(6.8,153,103,140)</t>
  </si>
  <si>
    <t>(6.9,155,117,160)</t>
  </si>
  <si>
    <t>Access, Comfort,</t>
  </si>
  <si>
    <t>Essential, Prestige,</t>
  </si>
  <si>
    <t>City, Amibition,</t>
  </si>
  <si>
    <t>Access, GT Line</t>
  </si>
  <si>
    <t>Live, Feel</t>
  </si>
  <si>
    <t>Zen, Intens, Limited,</t>
  </si>
  <si>
    <t>Executive,</t>
  </si>
  <si>
    <t>Xcellence, FR</t>
  </si>
  <si>
    <t>A3 SB</t>
  </si>
  <si>
    <t>Megane</t>
  </si>
  <si>
    <t>1er Limousine</t>
  </si>
  <si>
    <t>Puma</t>
  </si>
  <si>
    <t>Blue dCi 85</t>
  </si>
  <si>
    <t>30 TDI</t>
  </si>
  <si>
    <t>1.5 l EcoBlue</t>
  </si>
  <si>
    <t>116d</t>
  </si>
  <si>
    <t>160 d</t>
  </si>
  <si>
    <t>(4.2,110,85,115)</t>
  </si>
  <si>
    <t>(4.4,116,90,122)</t>
  </si>
  <si>
    <t>35 TDI</t>
  </si>
  <si>
    <t>(4.4,115,110,150)</t>
  </si>
  <si>
    <t>dCi 95</t>
  </si>
  <si>
    <t>(4.4,116,70,95)</t>
  </si>
  <si>
    <t>(4.5,117,88,120)</t>
  </si>
  <si>
    <t>(4.7,124,110,150)</t>
  </si>
  <si>
    <t>118d</t>
  </si>
  <si>
    <t>(4.7,122,11,150)</t>
  </si>
  <si>
    <t>(5.0, 130, 88, 120)</t>
  </si>
  <si>
    <t>A180d</t>
  </si>
  <si>
    <t>(4.5,118,85,116)</t>
  </si>
  <si>
    <t>A200d</t>
  </si>
  <si>
    <t>(4.8,125,110,150)</t>
  </si>
  <si>
    <t>(4.5,119,96,131)</t>
  </si>
  <si>
    <t>Rabbit, Life, Style</t>
  </si>
  <si>
    <t>Like, Active,</t>
  </si>
  <si>
    <t>RS Line</t>
  </si>
  <si>
    <t>Cool&amp;Connect,</t>
  </si>
  <si>
    <t>ST-Line</t>
  </si>
  <si>
    <t>sport, design</t>
  </si>
  <si>
    <t>ST-Line, Vignale,</t>
  </si>
  <si>
    <t>Cool&amp;Connect</t>
  </si>
  <si>
    <t>Edition One, RS Line</t>
  </si>
  <si>
    <t>GT-Line, Style</t>
  </si>
  <si>
    <t>Auch als Turnier</t>
  </si>
  <si>
    <t>CLA-Klasse</t>
  </si>
  <si>
    <t>Tipo Kombi</t>
  </si>
  <si>
    <t>ceed SW</t>
  </si>
  <si>
    <t xml:space="preserve">Insignia </t>
  </si>
  <si>
    <t>A4 Limousine</t>
  </si>
  <si>
    <t>Mondeo</t>
  </si>
  <si>
    <t>2.0 l TDI</t>
  </si>
  <si>
    <t>180 d</t>
  </si>
  <si>
    <t>318d</t>
  </si>
  <si>
    <t>200 d</t>
  </si>
  <si>
    <t>2.0l EcoBlue SCR</t>
  </si>
  <si>
    <t>6d-ISC-FCM</t>
  </si>
  <si>
    <t>(4.6,122,110,150)</t>
  </si>
  <si>
    <t>(4.6,120,100,136)</t>
  </si>
  <si>
    <t>200d</t>
  </si>
  <si>
    <t>(4.8,127,140,190)</t>
  </si>
  <si>
    <t>(4.5,119,88,120)</t>
  </si>
  <si>
    <t>MultiJet 120 SCR</t>
  </si>
  <si>
    <t>(5.1,130,88,120)</t>
  </si>
  <si>
    <t>BlueHDI 160</t>
  </si>
  <si>
    <t>(5.5,144,120,163),</t>
  </si>
  <si>
    <t>BlueHDI 180</t>
  </si>
  <si>
    <t>(5.7,150,130,177)</t>
  </si>
  <si>
    <t>(4.8,125,100,136)</t>
  </si>
  <si>
    <t>2.0 CDTI</t>
  </si>
  <si>
    <t>(4.7,122,128,174)</t>
  </si>
  <si>
    <t>(5.4,141,88,120)</t>
  </si>
  <si>
    <t>(4.9,128,140,190)</t>
  </si>
  <si>
    <t>(5.0,130,90,122)</t>
  </si>
  <si>
    <t>(5.0,132,143,194)</t>
  </si>
  <si>
    <t>(5.0,131,120,163)</t>
  </si>
  <si>
    <t>40 TDI</t>
  </si>
  <si>
    <t>(5.2,136,140,190)</t>
  </si>
  <si>
    <t>2.0l EcoBlue</t>
  </si>
  <si>
    <t>(5.0,131,110,150)</t>
  </si>
  <si>
    <t>(5.3,140,140,190)</t>
  </si>
  <si>
    <t>Astra, Edition,</t>
  </si>
  <si>
    <t>GS Line, Elegance,</t>
  </si>
  <si>
    <t>Street, Mirror,</t>
  </si>
  <si>
    <t>Lounge, S-Design</t>
  </si>
  <si>
    <t>GT Line, GT</t>
  </si>
  <si>
    <t>S, Comfort</t>
  </si>
  <si>
    <t>Titan, Platin,</t>
  </si>
  <si>
    <t>Edition, Business</t>
  </si>
  <si>
    <t>GT Line, Access,</t>
  </si>
  <si>
    <t>advanced, S line</t>
  </si>
  <si>
    <t>Auch als Passat</t>
  </si>
  <si>
    <t>500X Urban</t>
  </si>
  <si>
    <t>Kamiq</t>
  </si>
  <si>
    <t>T-Roc</t>
  </si>
  <si>
    <t>1.6 MultiJet</t>
  </si>
  <si>
    <t>95 SCR</t>
  </si>
  <si>
    <t xml:space="preserve">1.6l TDI </t>
  </si>
  <si>
    <t>1,6 TDI</t>
  </si>
  <si>
    <t>(4.9,129,96,130)</t>
  </si>
  <si>
    <t>(4.9,129,110,150)</t>
  </si>
  <si>
    <t>(5.1,134,140,190)</t>
  </si>
  <si>
    <t>Blue HDi 120</t>
  </si>
  <si>
    <t>(5.2,137,88,120)</t>
  </si>
  <si>
    <t>(5.3,138,88,120)</t>
  </si>
  <si>
    <t>(5.1,134,100,136)</t>
  </si>
  <si>
    <t>Cooper D</t>
  </si>
  <si>
    <t>(5.0,130,110,150)</t>
  </si>
  <si>
    <t>Cooper SD</t>
  </si>
  <si>
    <t>(5.3,139,140,190)</t>
  </si>
  <si>
    <t>2,0 TDI</t>
  </si>
  <si>
    <t>(5.4,141,110,150)</t>
  </si>
  <si>
    <t>(5.5,144,74,101)</t>
  </si>
  <si>
    <t>Intens, Edition One</t>
  </si>
  <si>
    <t>Lounge, Cross, Sport</t>
  </si>
  <si>
    <t>ST-Line, Titanium</t>
  </si>
  <si>
    <t>T-Roc, Design, Sport</t>
  </si>
  <si>
    <t>Sportage</t>
  </si>
  <si>
    <t>1.6 i-DTEC</t>
  </si>
  <si>
    <t>1.6 CRDI SCR</t>
  </si>
  <si>
    <t>(4.8,126,85,115)</t>
  </si>
  <si>
    <t>(5.1,134,110,150)</t>
  </si>
  <si>
    <t>(4.9,128,85,115)</t>
  </si>
  <si>
    <t>Blue dCi 150</t>
  </si>
  <si>
    <t>(5.5,145,110,150)</t>
  </si>
  <si>
    <t>(5.4,141,100,136)</t>
  </si>
  <si>
    <t>(6.1,161,130,180)</t>
  </si>
  <si>
    <t>(6.1,162,130,180)</t>
  </si>
  <si>
    <t>(5.4,142,110,150)</t>
  </si>
  <si>
    <t>Essential, Comfort,</t>
  </si>
  <si>
    <t>Prestige, Celebration</t>
  </si>
  <si>
    <t>Feel</t>
  </si>
  <si>
    <t>Zen, Intens,</t>
  </si>
  <si>
    <t>Comfort. Elegance,</t>
  </si>
  <si>
    <t>Titan, Silber,</t>
  </si>
  <si>
    <t>Gold, Platin,</t>
  </si>
  <si>
    <t>Live, Feel,</t>
  </si>
  <si>
    <t>Shine, C-Series</t>
  </si>
  <si>
    <r>
      <t xml:space="preserve">E-Mobilitätsrechner
</t>
    </r>
    <r>
      <rPr>
        <b/>
        <sz val="8"/>
        <rFont val="Calibri"/>
        <family val="2"/>
        <scheme val="minor"/>
      </rPr>
      <t>E_MOB_Rechner_0221_Vers.6.0</t>
    </r>
  </si>
  <si>
    <t>E_MOB_Rechner_0221_Vers.6.0</t>
  </si>
  <si>
    <t>20 389</t>
  </si>
  <si>
    <t>29 390</t>
  </si>
  <si>
    <t>19 530</t>
  </si>
  <si>
    <t>18 790</t>
  </si>
  <si>
    <t>16 650</t>
  </si>
  <si>
    <t>23 739</t>
  </si>
  <si>
    <t>29 600</t>
  </si>
  <si>
    <t>11 340</t>
  </si>
  <si>
    <t>23 650</t>
  </si>
  <si>
    <t>24 090</t>
  </si>
  <si>
    <t>31 160</t>
  </si>
  <si>
    <t>20 275</t>
  </si>
  <si>
    <t>25 890</t>
  </si>
  <si>
    <t>22 590</t>
  </si>
  <si>
    <t>29 590</t>
  </si>
  <si>
    <t>23 850</t>
  </si>
  <si>
    <t>4 060</t>
  </si>
  <si>
    <t>4 284</t>
  </si>
  <si>
    <t>4 055</t>
  </si>
  <si>
    <t>4 050</t>
  </si>
  <si>
    <t>4 040</t>
  </si>
  <si>
    <t>4 370</t>
  </si>
  <si>
    <t>4 313</t>
  </si>
  <si>
    <t>4 069</t>
  </si>
  <si>
    <t>4 378</t>
  </si>
  <si>
    <t>4 359</t>
  </si>
  <si>
    <t>4 319</t>
  </si>
  <si>
    <t>4 170</t>
  </si>
  <si>
    <t>4 186</t>
  </si>
  <si>
    <t>4 340</t>
  </si>
  <si>
    <t>4 419</t>
  </si>
  <si>
    <t>4 253</t>
  </si>
  <si>
    <t>1 960</t>
  </si>
  <si>
    <t>1 789</t>
  </si>
  <si>
    <t>1 988</t>
  </si>
  <si>
    <t>1 735</t>
  </si>
  <si>
    <t>2 042</t>
  </si>
  <si>
    <t>1 785</t>
  </si>
  <si>
    <t>1 994</t>
  </si>
  <si>
    <t>1 825</t>
  </si>
  <si>
    <t>2 058</t>
  </si>
  <si>
    <t>1 799</t>
  </si>
  <si>
    <t>1 979</t>
  </si>
  <si>
    <t>1 930</t>
  </si>
  <si>
    <t>1 795</t>
  </si>
  <si>
    <t>1 796</t>
  </si>
  <si>
    <t>2 043</t>
  </si>
  <si>
    <t>1 433</t>
  </si>
  <si>
    <t>1 491</t>
  </si>
  <si>
    <t>1 430</t>
  </si>
  <si>
    <t>1 440</t>
  </si>
  <si>
    <t>1 476</t>
  </si>
  <si>
    <t>1 485</t>
  </si>
  <si>
    <t>1 426</t>
  </si>
  <si>
    <t>1 555</t>
  </si>
  <si>
    <t>1 454</t>
  </si>
  <si>
    <t>1 447</t>
  </si>
  <si>
    <t>1 434</t>
  </si>
  <si>
    <t>1 480</t>
  </si>
  <si>
    <t>1 536</t>
  </si>
  <si>
    <t>1 455</t>
  </si>
  <si>
    <t>1 457</t>
  </si>
  <si>
    <t>1 165</t>
  </si>
  <si>
    <t>1 380</t>
  </si>
  <si>
    <t>1 277</t>
  </si>
  <si>
    <t>1 194</t>
  </si>
  <si>
    <t>1 371</t>
  </si>
  <si>
    <t>1 360</t>
  </si>
  <si>
    <t>1 190</t>
  </si>
  <si>
    <t>1 363</t>
  </si>
  <si>
    <t>1 315</t>
  </si>
  <si>
    <t>1 375</t>
  </si>
  <si>
    <t>1 148</t>
  </si>
  <si>
    <t>1 280</t>
  </si>
  <si>
    <t>1 313</t>
  </si>
  <si>
    <t>1 425</t>
  </si>
  <si>
    <t>1 205</t>
  </si>
  <si>
    <t>(Verbrauch, CO2-Emissionen,</t>
  </si>
  <si>
    <t>25 339</t>
  </si>
  <si>
    <t>29 970</t>
  </si>
  <si>
    <t>35 460</t>
  </si>
  <si>
    <t>25 090</t>
  </si>
  <si>
    <t>25 150</t>
  </si>
  <si>
    <t>21 170</t>
  </si>
  <si>
    <t>36 750</t>
  </si>
  <si>
    <t>24 390</t>
  </si>
  <si>
    <t>22 790</t>
  </si>
  <si>
    <t>32 699</t>
  </si>
  <si>
    <t>27 800</t>
  </si>
  <si>
    <t>36 659</t>
  </si>
  <si>
    <t>38 950</t>
  </si>
  <si>
    <t>40 470</t>
  </si>
  <si>
    <t>36 970</t>
  </si>
  <si>
    <t>34 100</t>
  </si>
  <si>
    <t>4 702</t>
  </si>
  <si>
    <t>4 689</t>
  </si>
  <si>
    <t>4 585</t>
  </si>
  <si>
    <t>4 688</t>
  </si>
  <si>
    <t>4 626</t>
  </si>
  <si>
    <t>4 668</t>
  </si>
  <si>
    <t>4 571</t>
  </si>
  <si>
    <t>4 750</t>
  </si>
  <si>
    <t>4 518</t>
  </si>
  <si>
    <t>4 600</t>
  </si>
  <si>
    <t>4 897</t>
  </si>
  <si>
    <t>4 775</t>
  </si>
  <si>
    <t>4 709</t>
  </si>
  <si>
    <t>4 686</t>
  </si>
  <si>
    <t>4 762</t>
  </si>
  <si>
    <t>4 871</t>
  </si>
  <si>
    <t>2 039</t>
  </si>
  <si>
    <t>1 830</t>
  </si>
  <si>
    <t>1 792</t>
  </si>
  <si>
    <t>2 079</t>
  </si>
  <si>
    <t>1 800</t>
  </si>
  <si>
    <t>2 093</t>
  </si>
  <si>
    <t>2 083</t>
  </si>
  <si>
    <t>2 068</t>
  </si>
  <si>
    <t>1 810</t>
  </si>
  <si>
    <t>2 022</t>
  </si>
  <si>
    <t>2 121</t>
  </si>
  <si>
    <t>1 468</t>
  </si>
  <si>
    <t>1 465</t>
  </si>
  <si>
    <t>1 439</t>
  </si>
  <si>
    <t>1 449</t>
  </si>
  <si>
    <t>1 494</t>
  </si>
  <si>
    <t>1 514</t>
  </si>
  <si>
    <t>1 403</t>
  </si>
  <si>
    <t>1 472</t>
  </si>
  <si>
    <t>1 483</t>
  </si>
  <si>
    <t>1 435</t>
  </si>
  <si>
    <t>1 442</t>
  </si>
  <si>
    <t>1 428</t>
  </si>
  <si>
    <t>1 482</t>
  </si>
  <si>
    <t>1 395</t>
  </si>
  <si>
    <t>1 370</t>
  </si>
  <si>
    <t>1 470</t>
  </si>
  <si>
    <t>1 413</t>
  </si>
  <si>
    <t>1 415</t>
  </si>
  <si>
    <t>1 342</t>
  </si>
  <si>
    <t>1 350</t>
  </si>
  <si>
    <t>1 503</t>
  </si>
  <si>
    <t>1 525</t>
  </si>
  <si>
    <t>1 520</t>
  </si>
  <si>
    <t>1 540</t>
  </si>
  <si>
    <t>1 707</t>
  </si>
  <si>
    <t>1.6l TDI</t>
  </si>
  <si>
    <t>25 510</t>
  </si>
  <si>
    <t>32 050</t>
  </si>
  <si>
    <t>20 790</t>
  </si>
  <si>
    <t>24 890</t>
  </si>
  <si>
    <t>19 990</t>
  </si>
  <si>
    <t>22 100</t>
  </si>
  <si>
    <t>23 700</t>
  </si>
  <si>
    <t>22 690</t>
  </si>
  <si>
    <t>28 500</t>
  </si>
  <si>
    <t>24 050</t>
  </si>
  <si>
    <t>25 770</t>
  </si>
  <si>
    <t>18 142</t>
  </si>
  <si>
    <t>4 300</t>
  </si>
  <si>
    <t>4 354</t>
  </si>
  <si>
    <t>4 154</t>
  </si>
  <si>
    <t>4 227</t>
  </si>
  <si>
    <t>4 138</t>
  </si>
  <si>
    <t>4 264</t>
  </si>
  <si>
    <t>4 096</t>
  </si>
  <si>
    <t>4 165</t>
  </si>
  <si>
    <t>4 299</t>
  </si>
  <si>
    <t>4 241</t>
  </si>
  <si>
    <t>4 234</t>
  </si>
  <si>
    <t>4 157</t>
  </si>
  <si>
    <t>1 987</t>
  </si>
  <si>
    <t>1 976</t>
  </si>
  <si>
    <t>2 003</t>
  </si>
  <si>
    <t>1 942</t>
  </si>
  <si>
    <t>2 025</t>
  </si>
  <si>
    <t>2 057</t>
  </si>
  <si>
    <t>2 070</t>
  </si>
  <si>
    <t>1 822</t>
  </si>
  <si>
    <t>1 992</t>
  </si>
  <si>
    <t>2 112</t>
  </si>
  <si>
    <t>Höhe [mm]</t>
  </si>
  <si>
    <t>1 530</t>
  </si>
  <si>
    <t>1 597</t>
  </si>
  <si>
    <t>1 576</t>
  </si>
  <si>
    <t>1 543</t>
  </si>
  <si>
    <t>1 595</t>
  </si>
  <si>
    <t>1 653</t>
  </si>
  <si>
    <t>1 550</t>
  </si>
  <si>
    <t>1 557</t>
  </si>
  <si>
    <t>1 553</t>
  </si>
  <si>
    <t>1 573</t>
  </si>
  <si>
    <t>1 741</t>
  </si>
  <si>
    <t>1 495</t>
  </si>
  <si>
    <t>1 292</t>
  </si>
  <si>
    <t>1 490</t>
  </si>
  <si>
    <t>1 297</t>
  </si>
  <si>
    <t>1 320</t>
  </si>
  <si>
    <t>1 318</t>
  </si>
  <si>
    <t>1 505</t>
  </si>
  <si>
    <t>1 336</t>
  </si>
  <si>
    <t>1 420</t>
  </si>
  <si>
    <t>BENZIN</t>
  </si>
  <si>
    <t>DIESEL</t>
  </si>
  <si>
    <t>VW Golf - Benzin</t>
  </si>
  <si>
    <t>VW ID.3 Pro (58 kWh)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</si>
</sst>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 #,##0;&quot;€&quot;\ \-#,##0"/>
    <numFmt numFmtId="7" formatCode="&quot;€&quot;\ #,##0.00;&quot;€&quot;\ \-#,##0.00"/>
    <numFmt numFmtId="164" formatCode="_(* #,##0.00_);_(* \(#,##0.00\);_(* &quot;-&quot;??_);_(@_)"/>
    <numFmt numFmtId="165" formatCode="0.0"/>
    <numFmt numFmtId="166" formatCode="0.000"/>
    <numFmt numFmtId="167" formatCode="0.0000"/>
    <numFmt numFmtId="168" formatCode="#,##0.00\ &quot;€&quot;"/>
    <numFmt numFmtId="169" formatCode="0.0%"/>
    <numFmt numFmtId="170" formatCode="#,##0.0000"/>
    <numFmt numFmtId="171" formatCode="_(* #,##0.0_);_(* \(#,##0.0\);_(* &quot;-&quot;??_);_(@_)"/>
    <numFmt numFmtId="172" formatCode="_(* #,##0_);_(* \(#,##0\);_(* &quot;-&quot;??_);_(@_)"/>
    <numFmt numFmtId="173" formatCode="mmm/\ yy"/>
    <numFmt numFmtId="174" formatCode="#,##0.0"/>
    <numFmt numFmtId="175" formatCode="0.00\ &quot;€&quot;"/>
    <numFmt numFmtId="176" formatCode="#\ &quot;€&quot;/1\k\W\p"/>
    <numFmt numFmtId="177" formatCode="0.0000\ &quot;€&quot;"/>
    <numFmt numFmtId="178" formatCode="#,##0_ ;[Red]\-#,##0\ "/>
    <numFmt numFmtId="179" formatCode="_ * #,##0.0_ ;_ * \-#,##0.0_ ;_ * &quot;-&quot;?_ ;_ @_ "/>
    <numFmt numFmtId="180" formatCode="_(* #,##0.000_);_(* \(#,##0.000\);_(* &quot;-&quot;??_);_(@_)"/>
    <numFmt numFmtId="181" formatCode="_ * #,##0.000_ ;_ * \-#,##0.000_ ;_ * &quot;-&quot;?_ ;_ @_ "/>
  </numFmts>
  <fonts count="94" x14ac:knownFonts="1">
    <font>
      <sz val="10"/>
      <name val="Arial"/>
    </font>
    <font>
      <sz val="10"/>
      <name val="Arial"/>
      <family val="2"/>
    </font>
    <font>
      <sz val="8"/>
      <name val="Arial"/>
      <family val="2"/>
    </font>
    <font>
      <b/>
      <sz val="10"/>
      <name val="Arial"/>
      <family val="2"/>
    </font>
    <font>
      <b/>
      <sz val="10"/>
      <color indexed="9"/>
      <name val="Arial"/>
      <family val="2"/>
    </font>
    <font>
      <sz val="10"/>
      <name val="Arial"/>
      <family val="2"/>
    </font>
    <font>
      <sz val="14"/>
      <name val="Arial"/>
      <family val="2"/>
    </font>
    <font>
      <sz val="10"/>
      <name val="Arial"/>
      <family val="2"/>
    </font>
    <font>
      <sz val="10"/>
      <color indexed="16"/>
      <name val="Arial"/>
      <family val="2"/>
    </font>
    <font>
      <u/>
      <sz val="10"/>
      <color indexed="12"/>
      <name val="Arial"/>
      <family val="2"/>
    </font>
    <font>
      <b/>
      <u/>
      <sz val="10"/>
      <name val="Arial"/>
      <family val="2"/>
    </font>
    <font>
      <sz val="10"/>
      <color indexed="9"/>
      <name val="Arial"/>
      <family val="2"/>
    </font>
    <font>
      <b/>
      <sz val="10"/>
      <name val="Arial"/>
      <family val="2"/>
    </font>
    <font>
      <sz val="10"/>
      <color indexed="9"/>
      <name val="Arial"/>
      <family val="2"/>
    </font>
    <font>
      <u/>
      <sz val="10"/>
      <name val="Arial"/>
      <family val="2"/>
    </font>
    <font>
      <sz val="10"/>
      <name val="Times New Roman"/>
      <family val="1"/>
    </font>
    <font>
      <b/>
      <sz val="12"/>
      <name val="Arial"/>
      <family val="2"/>
    </font>
    <font>
      <sz val="9"/>
      <name val="Arial"/>
      <family val="2"/>
    </font>
    <font>
      <vertAlign val="superscript"/>
      <sz val="10"/>
      <name val="Arial"/>
      <family val="2"/>
    </font>
    <font>
      <sz val="9"/>
      <color indexed="9"/>
      <name val="Arial"/>
      <family val="2"/>
    </font>
    <font>
      <b/>
      <u/>
      <sz val="12"/>
      <color indexed="12"/>
      <name val="Arial"/>
      <family val="2"/>
    </font>
    <font>
      <sz val="10"/>
      <color indexed="10"/>
      <name val="Arial"/>
      <family val="2"/>
    </font>
    <font>
      <b/>
      <sz val="14"/>
      <name val="Arial"/>
      <family val="2"/>
    </font>
    <font>
      <sz val="10"/>
      <name val="Arial"/>
      <family val="2"/>
    </font>
    <font>
      <b/>
      <u/>
      <sz val="12"/>
      <name val="Arial"/>
      <family val="2"/>
    </font>
    <font>
      <b/>
      <sz val="24"/>
      <name val="Arial"/>
      <family val="2"/>
    </font>
    <font>
      <b/>
      <sz val="18"/>
      <name val="Arial"/>
      <family val="2"/>
    </font>
    <font>
      <sz val="12"/>
      <name val="Arial"/>
      <family val="2"/>
    </font>
    <font>
      <b/>
      <sz val="22"/>
      <name val="Arial"/>
      <family val="2"/>
    </font>
    <font>
      <sz val="11"/>
      <name val="Arial"/>
      <family val="2"/>
    </font>
    <font>
      <u/>
      <sz val="10"/>
      <color indexed="9"/>
      <name val="Arial"/>
      <family val="2"/>
    </font>
    <font>
      <sz val="13.5"/>
      <name val="Arial"/>
      <family val="2"/>
    </font>
    <font>
      <u/>
      <sz val="11"/>
      <color indexed="12"/>
      <name val="Arial"/>
      <family val="2"/>
    </font>
    <font>
      <sz val="10"/>
      <name val="Calibri"/>
      <family val="2"/>
    </font>
    <font>
      <b/>
      <sz val="10"/>
      <name val="Calibri"/>
      <family val="2"/>
    </font>
    <font>
      <b/>
      <vertAlign val="subscript"/>
      <sz val="10"/>
      <name val="Calibri"/>
      <family val="2"/>
    </font>
    <font>
      <vertAlign val="subscript"/>
      <sz val="10"/>
      <name val="Calibri"/>
      <family val="2"/>
    </font>
    <font>
      <u/>
      <sz val="9"/>
      <color indexed="12"/>
      <name val="Arial"/>
      <family val="2"/>
    </font>
    <font>
      <sz val="11"/>
      <color theme="1"/>
      <name val="Calibri"/>
      <family val="2"/>
      <scheme val="minor"/>
    </font>
    <font>
      <sz val="11"/>
      <color theme="0"/>
      <name val="Calibri"/>
      <family val="2"/>
      <scheme val="minor"/>
    </font>
    <font>
      <b/>
      <sz val="11"/>
      <color theme="0"/>
      <name val="Calibri"/>
      <family val="2"/>
      <scheme val="minor"/>
    </font>
    <font>
      <sz val="10"/>
      <color rgb="FFFF0000"/>
      <name val="Arial"/>
      <family val="2"/>
    </font>
    <font>
      <sz val="10"/>
      <color theme="0"/>
      <name val="Arial"/>
      <family val="2"/>
    </font>
    <font>
      <sz val="11"/>
      <name val="Calibri"/>
      <family val="2"/>
      <scheme val="minor"/>
    </font>
    <font>
      <sz val="10"/>
      <name val="Calibri"/>
      <family val="2"/>
      <scheme val="minor"/>
    </font>
    <font>
      <b/>
      <u/>
      <sz val="11"/>
      <name val="Calibri"/>
      <family val="2"/>
      <scheme val="minor"/>
    </font>
    <font>
      <b/>
      <sz val="10"/>
      <color theme="0"/>
      <name val="Arial"/>
      <family val="2"/>
    </font>
    <font>
      <b/>
      <u/>
      <sz val="10"/>
      <color theme="0"/>
      <name val="Arial"/>
      <family val="2"/>
    </font>
    <font>
      <b/>
      <sz val="10"/>
      <name val="Calibri"/>
      <family val="2"/>
      <scheme val="minor"/>
    </font>
    <font>
      <b/>
      <sz val="10"/>
      <color indexed="16"/>
      <name val="Calibri"/>
      <family val="2"/>
      <scheme val="minor"/>
    </font>
    <font>
      <b/>
      <sz val="10"/>
      <color indexed="10"/>
      <name val="Calibri"/>
      <family val="2"/>
      <scheme val="minor"/>
    </font>
    <font>
      <b/>
      <sz val="10"/>
      <color rgb="FFFF0000"/>
      <name val="Arial"/>
      <family val="2"/>
    </font>
    <font>
      <sz val="10"/>
      <color indexed="16"/>
      <name val="Calibri"/>
      <family val="2"/>
      <scheme val="minor"/>
    </font>
    <font>
      <sz val="10"/>
      <color rgb="FFFF0000"/>
      <name val="Calibri"/>
      <family val="2"/>
      <scheme val="minor"/>
    </font>
    <font>
      <b/>
      <u/>
      <sz val="10"/>
      <name val="Calibri"/>
      <family val="2"/>
      <scheme val="minor"/>
    </font>
    <font>
      <b/>
      <u/>
      <sz val="12"/>
      <name val="Calibri"/>
      <family val="2"/>
      <scheme val="minor"/>
    </font>
    <font>
      <u/>
      <sz val="10"/>
      <color indexed="12"/>
      <name val="Calibri"/>
      <family val="2"/>
      <scheme val="minor"/>
    </font>
    <font>
      <sz val="10"/>
      <color rgb="FFC00000"/>
      <name val="Calibri"/>
      <family val="2"/>
      <scheme val="minor"/>
    </font>
    <font>
      <sz val="10"/>
      <color theme="0"/>
      <name val="Calibri"/>
      <family val="2"/>
      <scheme val="minor"/>
    </font>
    <font>
      <sz val="9"/>
      <name val="Calibri"/>
      <family val="2"/>
      <scheme val="minor"/>
    </font>
    <font>
      <sz val="12"/>
      <color theme="0"/>
      <name val="Calibri"/>
      <family val="2"/>
      <scheme val="minor"/>
    </font>
    <font>
      <sz val="11"/>
      <color theme="0"/>
      <name val="Arial"/>
      <family val="2"/>
    </font>
    <font>
      <sz val="14"/>
      <color theme="0"/>
      <name val="Arial"/>
      <family val="2"/>
    </font>
    <font>
      <b/>
      <sz val="12"/>
      <color rgb="FFFFC000"/>
      <name val="Calibri"/>
      <family val="2"/>
      <scheme val="minor"/>
    </font>
    <font>
      <sz val="12"/>
      <color rgb="FFFFC000"/>
      <name val="Calibri"/>
      <family val="2"/>
      <scheme val="minor"/>
    </font>
    <font>
      <u/>
      <sz val="10"/>
      <color theme="0"/>
      <name val="Arial"/>
      <family val="2"/>
    </font>
    <font>
      <b/>
      <sz val="36"/>
      <name val="Calibri"/>
      <family val="2"/>
      <scheme val="minor"/>
    </font>
    <font>
      <sz val="36"/>
      <name val="Calibri"/>
      <family val="2"/>
      <scheme val="minor"/>
    </font>
    <font>
      <u/>
      <sz val="9"/>
      <color indexed="12"/>
      <name val="Calibri"/>
      <family val="2"/>
      <scheme val="minor"/>
    </font>
    <font>
      <b/>
      <sz val="11"/>
      <name val="Calibri"/>
      <family val="2"/>
      <scheme val="minor"/>
    </font>
    <font>
      <b/>
      <sz val="10"/>
      <color theme="0"/>
      <name val="Calibri"/>
      <family val="2"/>
      <scheme val="minor"/>
    </font>
    <font>
      <vertAlign val="subscript"/>
      <sz val="10"/>
      <name val="Calibri"/>
      <family val="2"/>
      <scheme val="minor"/>
    </font>
    <font>
      <vertAlign val="subscript"/>
      <sz val="10"/>
      <color theme="0"/>
      <name val="Calibri"/>
      <family val="2"/>
      <scheme val="minor"/>
    </font>
    <font>
      <sz val="9"/>
      <color rgb="FF005198"/>
      <name val="Calibri"/>
      <family val="2"/>
      <scheme val="minor"/>
    </font>
    <font>
      <b/>
      <sz val="9"/>
      <color rgb="FF005198"/>
      <name val="Calibri"/>
      <family val="2"/>
      <scheme val="minor"/>
    </font>
    <font>
      <i/>
      <vertAlign val="superscript"/>
      <sz val="10"/>
      <name val="Arial"/>
      <family val="2"/>
    </font>
    <font>
      <i/>
      <vertAlign val="superscript"/>
      <sz val="9"/>
      <name val="Calibri"/>
      <family val="2"/>
      <scheme val="minor"/>
    </font>
    <font>
      <u/>
      <sz val="10"/>
      <name val="Calibri"/>
      <family val="2"/>
      <scheme val="minor"/>
    </font>
    <font>
      <b/>
      <sz val="8"/>
      <name val="Calibri"/>
      <family val="2"/>
      <scheme val="minor"/>
    </font>
    <font>
      <sz val="10"/>
      <color theme="0" tint="-0.24994659260841701"/>
      <name val="Calibri"/>
      <family val="2"/>
      <scheme val="minor"/>
    </font>
    <font>
      <vertAlign val="superscript"/>
      <sz val="10"/>
      <name val="Calibri"/>
      <family val="2"/>
      <scheme val="minor"/>
    </font>
    <font>
      <sz val="8"/>
      <name val="Calibri"/>
      <family val="2"/>
      <scheme val="minor"/>
    </font>
    <font>
      <i/>
      <sz val="10"/>
      <name val="Calibri"/>
      <family val="2"/>
      <scheme val="minor"/>
    </font>
    <font>
      <i/>
      <sz val="10"/>
      <name val="Arial"/>
      <family val="2"/>
    </font>
    <font>
      <vertAlign val="subscript"/>
      <sz val="10"/>
      <color theme="0"/>
      <name val="Arial"/>
      <family val="2"/>
    </font>
    <font>
      <i/>
      <sz val="9"/>
      <name val="Calibri"/>
      <family val="2"/>
      <scheme val="minor"/>
    </font>
    <font>
      <sz val="9"/>
      <color theme="0"/>
      <name val="Arial"/>
      <family val="2"/>
    </font>
    <font>
      <sz val="12"/>
      <color rgb="FFFF0000"/>
      <name val="Arial"/>
      <family val="2"/>
    </font>
    <font>
      <sz val="12"/>
      <color theme="0"/>
      <name val="Arial"/>
      <family val="2"/>
    </font>
    <font>
      <sz val="10"/>
      <color rgb="FFFF0000"/>
      <name val="Arial"/>
    </font>
    <font>
      <sz val="9"/>
      <color rgb="FFFF0000"/>
      <name val="Arial"/>
      <family val="2"/>
    </font>
    <font>
      <sz val="10"/>
      <color rgb="FF0070C0"/>
      <name val="Arial"/>
      <family val="2"/>
    </font>
    <font>
      <b/>
      <sz val="10"/>
      <color rgb="FF0070C0"/>
      <name val="Arial"/>
      <family val="2"/>
    </font>
    <font>
      <sz val="10"/>
      <color theme="1"/>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22"/>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9"/>
        <bgColor indexed="22"/>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22"/>
      </patternFill>
    </fill>
    <fill>
      <patternFill patternType="solid">
        <fgColor theme="0"/>
        <bgColor indexed="22"/>
      </patternFill>
    </fill>
    <fill>
      <patternFill patternType="solid">
        <fgColor rgb="FF00963F"/>
        <bgColor indexed="10"/>
      </patternFill>
    </fill>
    <fill>
      <patternFill patternType="solid">
        <fgColor rgb="FF00963F"/>
        <bgColor indexed="64"/>
      </patternFill>
    </fill>
    <fill>
      <patternFill patternType="solid">
        <fgColor rgb="FFC0C0C0"/>
        <bgColor indexed="64"/>
      </patternFill>
    </fill>
    <fill>
      <patternFill patternType="solid">
        <fgColor rgb="FFC0C0C0"/>
        <bgColor indexed="22"/>
      </patternFill>
    </fill>
    <fill>
      <patternFill patternType="solid">
        <fgColor theme="0" tint="-0.249977111117893"/>
        <bgColor indexed="22"/>
      </patternFill>
    </fill>
    <fill>
      <patternFill patternType="solid">
        <fgColor theme="0" tint="-0.14999847407452621"/>
        <bgColor indexed="64"/>
      </patternFill>
    </fill>
    <fill>
      <patternFill patternType="solid">
        <fgColor theme="0" tint="-0.24994659260841701"/>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rgb="FFFFFF00"/>
        <bgColor indexed="64"/>
      </patternFill>
    </fill>
  </fills>
  <borders count="78">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rgb="FF71706C"/>
      </left>
      <right style="thin">
        <color rgb="FF71706C"/>
      </right>
      <top style="thin">
        <color rgb="FF71706C"/>
      </top>
      <bottom style="thin">
        <color rgb="FF71706C"/>
      </bottom>
      <diagonal/>
    </border>
    <border>
      <left style="thin">
        <color theme="0"/>
      </left>
      <right style="thin">
        <color theme="0"/>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71706C"/>
      </left>
      <right/>
      <top style="thin">
        <color rgb="FF71706C"/>
      </top>
      <bottom style="thin">
        <color rgb="FF71706C"/>
      </bottom>
      <diagonal/>
    </border>
    <border>
      <left/>
      <right style="thin">
        <color rgb="FF71706C"/>
      </right>
      <top style="thin">
        <color rgb="FF71706C"/>
      </top>
      <bottom style="thin">
        <color rgb="FF71706C"/>
      </bottom>
      <diagonal/>
    </border>
    <border>
      <left/>
      <right/>
      <top style="thin">
        <color theme="0" tint="-0.499984740745262"/>
      </top>
      <bottom style="thin">
        <color theme="0" tint="-0.499984740745262"/>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diagonal/>
    </border>
    <border>
      <left/>
      <right style="thin">
        <color theme="0"/>
      </right>
      <top style="thin">
        <color rgb="FF00963F"/>
      </top>
      <bottom style="thin">
        <color rgb="FF00963F"/>
      </bottom>
      <diagonal/>
    </border>
    <border>
      <left style="thin">
        <color theme="0"/>
      </left>
      <right style="thin">
        <color rgb="FF00963F"/>
      </right>
      <top style="thin">
        <color rgb="FF00963F"/>
      </top>
      <bottom style="thin">
        <color rgb="FF00963F"/>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rgb="FF71706C"/>
      </left>
      <right/>
      <top style="thin">
        <color rgb="FF71706C"/>
      </top>
      <bottom/>
      <diagonal/>
    </border>
    <border>
      <left/>
      <right style="thin">
        <color rgb="FF71706C"/>
      </right>
      <top style="thin">
        <color rgb="FF71706C"/>
      </top>
      <bottom/>
      <diagonal/>
    </border>
    <border>
      <left style="thin">
        <color rgb="FF71706C"/>
      </left>
      <right/>
      <top/>
      <bottom style="thin">
        <color rgb="FF71706C"/>
      </bottom>
      <diagonal/>
    </border>
    <border>
      <left/>
      <right style="thin">
        <color rgb="FF71706C"/>
      </right>
      <top/>
      <bottom style="thin">
        <color rgb="FF71706C"/>
      </bottom>
      <diagonal/>
    </border>
    <border>
      <left/>
      <right/>
      <top/>
      <bottom style="thin">
        <color rgb="FF005198"/>
      </bottom>
      <diagonal/>
    </border>
    <border>
      <left style="thin">
        <color theme="0"/>
      </left>
      <right style="thin">
        <color theme="0"/>
      </right>
      <top/>
      <bottom/>
      <diagonal/>
    </border>
    <border>
      <left/>
      <right/>
      <top style="thin">
        <color rgb="FF71706C"/>
      </top>
      <bottom/>
      <diagonal/>
    </border>
    <border>
      <left style="thin">
        <color rgb="FF00963F"/>
      </left>
      <right style="thin">
        <color rgb="FF00963F"/>
      </right>
      <top style="thin">
        <color rgb="FF00963F"/>
      </top>
      <bottom style="thin">
        <color rgb="FF00963F"/>
      </bottom>
      <diagonal/>
    </border>
    <border>
      <left style="thin">
        <color rgb="FF00963F"/>
      </left>
      <right/>
      <top style="thin">
        <color rgb="FF00963F"/>
      </top>
      <bottom style="thin">
        <color rgb="FF00963F"/>
      </bottom>
      <diagonal/>
    </border>
    <border>
      <left/>
      <right style="thin">
        <color rgb="FF00963F"/>
      </right>
      <top style="thin">
        <color rgb="FF00963F"/>
      </top>
      <bottom style="thin">
        <color rgb="FF00963F"/>
      </bottom>
      <diagonal/>
    </border>
    <border>
      <left style="thin">
        <color rgb="FF00963F"/>
      </left>
      <right style="thin">
        <color rgb="FF00963F"/>
      </right>
      <top style="thin">
        <color rgb="FF00963F"/>
      </top>
      <bottom/>
      <diagonal/>
    </border>
    <border>
      <left style="thin">
        <color rgb="FF00963F"/>
      </left>
      <right style="thin">
        <color rgb="FF00963F"/>
      </right>
      <top/>
      <bottom style="thin">
        <color rgb="FF00963F"/>
      </bottom>
      <diagonal/>
    </border>
    <border>
      <left/>
      <right/>
      <top style="thin">
        <color rgb="FF71706C"/>
      </top>
      <bottom style="thin">
        <color rgb="FF71706C"/>
      </bottom>
      <diagonal/>
    </border>
    <border>
      <left/>
      <right/>
      <top style="thin">
        <color rgb="FF005198"/>
      </top>
      <bottom/>
      <diagonal/>
    </border>
    <border>
      <left style="thin">
        <color theme="0"/>
      </left>
      <right style="thin">
        <color theme="0" tint="-0.24994659260841701"/>
      </right>
      <top style="thin">
        <color theme="0"/>
      </top>
      <bottom style="thin">
        <color theme="0" tint="-0.24994659260841701"/>
      </bottom>
      <diagonal/>
    </border>
    <border>
      <left style="thin">
        <color theme="0" tint="-0.24994659260841701"/>
      </left>
      <right style="thin">
        <color theme="0"/>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right>
      <top style="thin">
        <color theme="0" tint="-0.24994659260841701"/>
      </top>
      <bottom style="thin">
        <color theme="0" tint="-0.24994659260841701"/>
      </bottom>
      <diagonal/>
    </border>
    <border>
      <left style="thin">
        <color theme="0"/>
      </left>
      <right style="thin">
        <color theme="0" tint="-0.24994659260841701"/>
      </right>
      <top style="thin">
        <color theme="0" tint="-0.24994659260841701"/>
      </top>
      <bottom style="thin">
        <color theme="0"/>
      </bottom>
      <diagonal/>
    </border>
    <border>
      <left style="thin">
        <color theme="0" tint="-0.24994659260841701"/>
      </left>
      <right style="thin">
        <color theme="0"/>
      </right>
      <top style="thin">
        <color theme="0" tint="-0.24994659260841701"/>
      </top>
      <bottom style="thin">
        <color theme="0"/>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bottom>
      <diagonal/>
    </border>
    <border>
      <left style="thin">
        <color rgb="FF71706C"/>
      </left>
      <right style="thin">
        <color rgb="FF71706C"/>
      </right>
      <top style="thin">
        <color rgb="FF71706C"/>
      </top>
      <bottom/>
      <diagonal/>
    </border>
    <border>
      <left style="thin">
        <color theme="0" tint="-0.24994659260841701"/>
      </left>
      <right/>
      <top style="thin">
        <color theme="0"/>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1706C"/>
      </left>
      <right style="thin">
        <color rgb="FF71706C"/>
      </right>
      <top/>
      <bottom style="thin">
        <color rgb="FF71706C"/>
      </bottom>
      <diagonal/>
    </border>
  </borders>
  <cellStyleXfs count="7">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38" fillId="0" borderId="0"/>
    <xf numFmtId="0" fontId="15" fillId="0" borderId="0"/>
    <xf numFmtId="0" fontId="1" fillId="0" borderId="0"/>
  </cellStyleXfs>
  <cellXfs count="772">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Border="1" applyProtection="1"/>
    <xf numFmtId="0" fontId="3" fillId="2" borderId="0" xfId="0" applyFont="1" applyFill="1" applyProtection="1"/>
    <xf numFmtId="0" fontId="0" fillId="2" borderId="0" xfId="0" applyFill="1" applyBorder="1" applyAlignment="1" applyProtection="1">
      <alignment horizontal="center"/>
    </xf>
    <xf numFmtId="0" fontId="3" fillId="2" borderId="0" xfId="0" applyFont="1" applyFill="1" applyAlignment="1" applyProtection="1">
      <alignment horizontal="right"/>
    </xf>
    <xf numFmtId="3" fontId="0" fillId="2" borderId="0" xfId="0" applyNumberFormat="1" applyFill="1" applyProtection="1"/>
    <xf numFmtId="0" fontId="1" fillId="3" borderId="0" xfId="0" applyFont="1" applyFill="1" applyBorder="1" applyAlignment="1" applyProtection="1">
      <alignment horizontal="right" vertical="center"/>
    </xf>
    <xf numFmtId="0" fontId="8" fillId="2" borderId="0" xfId="0" applyFont="1" applyFill="1" applyProtection="1"/>
    <xf numFmtId="0" fontId="0" fillId="4" borderId="0" xfId="0" applyFill="1" applyBorder="1" applyProtection="1"/>
    <xf numFmtId="0" fontId="7" fillId="4" borderId="0" xfId="0" applyFont="1" applyFill="1" applyBorder="1" applyProtection="1"/>
    <xf numFmtId="0" fontId="3" fillId="4" borderId="0" xfId="0" applyFont="1" applyFill="1" applyBorder="1" applyProtection="1"/>
    <xf numFmtId="0" fontId="10" fillId="2" borderId="0" xfId="0" applyFont="1" applyFill="1" applyProtection="1"/>
    <xf numFmtId="3" fontId="0" fillId="2" borderId="0" xfId="0" applyNumberFormat="1" applyFill="1" applyBorder="1" applyProtection="1"/>
    <xf numFmtId="0" fontId="10" fillId="2" borderId="0" xfId="0" applyFont="1" applyFill="1" applyBorder="1" applyProtection="1"/>
    <xf numFmtId="0" fontId="0" fillId="2" borderId="1" xfId="0" applyFill="1" applyBorder="1" applyProtection="1"/>
    <xf numFmtId="0" fontId="0" fillId="2" borderId="2" xfId="0" applyFill="1" applyBorder="1" applyAlignment="1" applyProtection="1">
      <alignment horizontal="center"/>
    </xf>
    <xf numFmtId="0" fontId="0" fillId="2" borderId="2" xfId="0" applyNumberFormat="1" applyFill="1" applyBorder="1" applyAlignment="1" applyProtection="1">
      <alignment horizontal="center"/>
    </xf>
    <xf numFmtId="2" fontId="0" fillId="2" borderId="3" xfId="0" applyNumberFormat="1" applyFill="1" applyBorder="1" applyProtection="1"/>
    <xf numFmtId="0" fontId="3" fillId="5" borderId="4" xfId="0" applyFont="1" applyFill="1" applyBorder="1" applyAlignment="1" applyProtection="1">
      <alignment horizontal="right"/>
    </xf>
    <xf numFmtId="0" fontId="3" fillId="5" borderId="5" xfId="0" applyFont="1" applyFill="1" applyBorder="1" applyProtection="1"/>
    <xf numFmtId="0" fontId="3" fillId="5" borderId="6" xfId="0" applyFont="1" applyFill="1" applyBorder="1" applyProtection="1"/>
    <xf numFmtId="0" fontId="0" fillId="2" borderId="7" xfId="0" applyFill="1" applyBorder="1" applyProtection="1"/>
    <xf numFmtId="0" fontId="0" fillId="2" borderId="8" xfId="0" applyFill="1" applyBorder="1" applyAlignment="1" applyProtection="1">
      <alignment horizontal="center"/>
    </xf>
    <xf numFmtId="0" fontId="0" fillId="2" borderId="8" xfId="0" applyNumberFormat="1" applyFill="1" applyBorder="1" applyAlignment="1" applyProtection="1">
      <alignment horizontal="center"/>
    </xf>
    <xf numFmtId="2" fontId="0" fillId="2" borderId="9" xfId="0" applyNumberFormat="1" applyFill="1" applyBorder="1" applyProtection="1"/>
    <xf numFmtId="0" fontId="3" fillId="5" borderId="10" xfId="0" applyFont="1" applyFill="1" applyBorder="1" applyAlignment="1" applyProtection="1">
      <alignment horizontal="right"/>
    </xf>
    <xf numFmtId="0" fontId="3" fillId="5" borderId="0" xfId="0" applyFont="1" applyFill="1" applyBorder="1" applyProtection="1"/>
    <xf numFmtId="0" fontId="3" fillId="5" borderId="11" xfId="0" applyFont="1" applyFill="1" applyBorder="1" applyProtection="1"/>
    <xf numFmtId="0" fontId="3" fillId="5" borderId="12" xfId="0" applyFont="1" applyFill="1" applyBorder="1" applyAlignment="1" applyProtection="1">
      <alignment horizontal="right"/>
    </xf>
    <xf numFmtId="0" fontId="3" fillId="5" borderId="13" xfId="0" applyFont="1" applyFill="1" applyBorder="1" applyProtection="1"/>
    <xf numFmtId="0" fontId="3" fillId="5" borderId="14" xfId="0" applyFont="1" applyFill="1" applyBorder="1" applyAlignment="1" applyProtection="1">
      <alignment horizontal="center"/>
    </xf>
    <xf numFmtId="0" fontId="0" fillId="2" borderId="15" xfId="0" applyFill="1" applyBorder="1" applyProtection="1"/>
    <xf numFmtId="0" fontId="0" fillId="2" borderId="16" xfId="0" applyFill="1" applyBorder="1" applyAlignment="1" applyProtection="1">
      <alignment horizontal="center"/>
    </xf>
    <xf numFmtId="0" fontId="0" fillId="2" borderId="16" xfId="0" applyNumberFormat="1" applyFill="1" applyBorder="1" applyAlignment="1" applyProtection="1">
      <alignment horizontal="center"/>
    </xf>
    <xf numFmtId="2" fontId="0" fillId="2" borderId="17" xfId="0" applyNumberFormat="1" applyFill="1" applyBorder="1" applyProtection="1"/>
    <xf numFmtId="0" fontId="3" fillId="5" borderId="18" xfId="0" applyFont="1" applyFill="1" applyBorder="1" applyProtection="1"/>
    <xf numFmtId="0" fontId="0" fillId="2" borderId="0" xfId="0" quotePrefix="1" applyNumberFormat="1" applyFill="1" applyBorder="1" applyAlignment="1" applyProtection="1">
      <alignment horizontal="left"/>
    </xf>
    <xf numFmtId="0" fontId="0" fillId="2" borderId="0" xfId="0" quotePrefix="1" applyNumberFormat="1" applyFill="1" applyBorder="1" applyAlignment="1" applyProtection="1">
      <alignment horizontal="center"/>
    </xf>
    <xf numFmtId="0" fontId="14" fillId="6" borderId="4" xfId="0" applyFont="1" applyFill="1" applyBorder="1" applyProtection="1"/>
    <xf numFmtId="0" fontId="0" fillId="6" borderId="5" xfId="0" applyFill="1" applyBorder="1" applyProtection="1"/>
    <xf numFmtId="0" fontId="0" fillId="6" borderId="6" xfId="0" applyFill="1" applyBorder="1" applyProtection="1"/>
    <xf numFmtId="0" fontId="0" fillId="6" borderId="10" xfId="0" applyFill="1" applyBorder="1" applyProtection="1"/>
    <xf numFmtId="0" fontId="0" fillId="6" borderId="0" xfId="0" applyFill="1" applyBorder="1" applyProtection="1"/>
    <xf numFmtId="0" fontId="0" fillId="6" borderId="11" xfId="0" applyFill="1" applyBorder="1" applyProtection="1"/>
    <xf numFmtId="0" fontId="0" fillId="6" borderId="12" xfId="0" applyFill="1" applyBorder="1" applyProtection="1"/>
    <xf numFmtId="0" fontId="0" fillId="6" borderId="13" xfId="0" applyFill="1" applyBorder="1" applyProtection="1"/>
    <xf numFmtId="0" fontId="0" fillId="6" borderId="14" xfId="0" applyFill="1" applyBorder="1" applyProtection="1"/>
    <xf numFmtId="0" fontId="16" fillId="2" borderId="0" xfId="0" applyFont="1" applyFill="1" applyAlignment="1" applyProtection="1">
      <alignment horizontal="left"/>
    </xf>
    <xf numFmtId="0" fontId="17" fillId="2" borderId="0" xfId="0" applyFont="1" applyFill="1" applyAlignment="1" applyProtection="1">
      <alignment horizontal="center"/>
    </xf>
    <xf numFmtId="0" fontId="17" fillId="2" borderId="0" xfId="0" applyFont="1" applyFill="1" applyAlignment="1" applyProtection="1">
      <alignment horizontal="left"/>
    </xf>
    <xf numFmtId="0" fontId="3" fillId="2" borderId="0" xfId="0" applyFont="1" applyFill="1" applyAlignment="1" applyProtection="1">
      <alignment horizontal="left"/>
    </xf>
    <xf numFmtId="0" fontId="1" fillId="2" borderId="0" xfId="0" applyFont="1" applyFill="1" applyBorder="1" applyProtection="1"/>
    <xf numFmtId="0" fontId="0" fillId="0" borderId="0" xfId="0" applyBorder="1" applyProtection="1"/>
    <xf numFmtId="0" fontId="5" fillId="2" borderId="0" xfId="0" applyFont="1" applyFill="1" applyBorder="1" applyProtection="1"/>
    <xf numFmtId="0" fontId="1" fillId="2" borderId="0" xfId="0" applyFont="1" applyFill="1" applyBorder="1" applyAlignment="1" applyProtection="1">
      <alignment horizontal="right"/>
    </xf>
    <xf numFmtId="0" fontId="9" fillId="2" borderId="0" xfId="1" applyFill="1" applyBorder="1" applyAlignment="1" applyProtection="1"/>
    <xf numFmtId="0" fontId="14" fillId="2" borderId="0" xfId="0" applyFont="1" applyFill="1" applyBorder="1" applyProtection="1"/>
    <xf numFmtId="0" fontId="0" fillId="2" borderId="0" xfId="0" applyFill="1" applyBorder="1" applyAlignment="1" applyProtection="1">
      <alignment horizontal="left"/>
    </xf>
    <xf numFmtId="0" fontId="11" fillId="2" borderId="0" xfId="0" applyFont="1" applyFill="1" applyBorder="1" applyProtection="1"/>
    <xf numFmtId="0" fontId="11" fillId="2" borderId="0" xfId="0" applyFont="1" applyFill="1" applyBorder="1" applyAlignment="1" applyProtection="1">
      <alignment horizontal="center"/>
    </xf>
    <xf numFmtId="0" fontId="19" fillId="2" borderId="0" xfId="0" applyFont="1" applyFill="1" applyBorder="1" applyAlignment="1" applyProtection="1">
      <alignment horizontal="center"/>
    </xf>
    <xf numFmtId="0" fontId="19" fillId="2" borderId="0" xfId="5" applyFont="1" applyFill="1" applyBorder="1" applyAlignment="1" applyProtection="1">
      <alignment horizontal="center"/>
    </xf>
    <xf numFmtId="17" fontId="19" fillId="2" borderId="0" xfId="5" applyNumberFormat="1" applyFont="1" applyFill="1" applyBorder="1" applyAlignment="1" applyProtection="1">
      <alignment horizontal="center"/>
    </xf>
    <xf numFmtId="17" fontId="19" fillId="2" borderId="0" xfId="0" applyNumberFormat="1" applyFont="1" applyFill="1" applyBorder="1" applyAlignment="1" applyProtection="1">
      <alignment horizontal="center" vertical="center"/>
    </xf>
    <xf numFmtId="173" fontId="19" fillId="2" borderId="0" xfId="0" applyNumberFormat="1"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2" fontId="19" fillId="2" borderId="0" xfId="0" applyNumberFormat="1" applyFont="1" applyFill="1" applyBorder="1" applyAlignment="1" applyProtection="1">
      <alignment horizontal="center" vertical="center"/>
    </xf>
    <xf numFmtId="2" fontId="4" fillId="2" borderId="0" xfId="0" applyNumberFormat="1" applyFont="1" applyFill="1" applyBorder="1" applyAlignment="1" applyProtection="1">
      <alignment horizontal="center"/>
    </xf>
    <xf numFmtId="0" fontId="19" fillId="2" borderId="0" xfId="0" applyFont="1" applyFill="1" applyAlignment="1" applyProtection="1">
      <alignment horizontal="left"/>
    </xf>
    <xf numFmtId="0" fontId="19" fillId="2" borderId="0" xfId="0" applyFont="1" applyFill="1" applyAlignment="1" applyProtection="1">
      <alignment horizontal="center"/>
    </xf>
    <xf numFmtId="2" fontId="19" fillId="2" borderId="0" xfId="0" applyNumberFormat="1" applyFont="1" applyFill="1" applyAlignment="1" applyProtection="1">
      <alignment horizontal="center"/>
    </xf>
    <xf numFmtId="2" fontId="13" fillId="2" borderId="0" xfId="0" applyNumberFormat="1" applyFont="1" applyFill="1" applyBorder="1" applyAlignment="1" applyProtection="1">
      <alignment horizontal="center"/>
    </xf>
    <xf numFmtId="0" fontId="11"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left"/>
    </xf>
    <xf numFmtId="0" fontId="4" fillId="2" borderId="0" xfId="0" quotePrefix="1" applyNumberFormat="1" applyFont="1" applyFill="1" applyBorder="1" applyAlignment="1" applyProtection="1">
      <alignment horizontal="center"/>
    </xf>
    <xf numFmtId="0" fontId="21" fillId="2" borderId="0" xfId="0" applyFont="1" applyFill="1" applyProtection="1"/>
    <xf numFmtId="0" fontId="21" fillId="2" borderId="0" xfId="0" applyFont="1" applyFill="1" applyBorder="1" applyProtection="1"/>
    <xf numFmtId="0" fontId="1" fillId="2" borderId="0" xfId="0" applyFont="1" applyFill="1" applyProtection="1"/>
    <xf numFmtId="0" fontId="13" fillId="2" borderId="0" xfId="0" applyFont="1" applyFill="1" applyProtection="1"/>
    <xf numFmtId="0" fontId="1" fillId="2" borderId="0" xfId="0" applyFont="1" applyFill="1" applyBorder="1" applyProtection="1">
      <protection locked="0"/>
    </xf>
    <xf numFmtId="0" fontId="13" fillId="2" borderId="0" xfId="0" applyFont="1" applyFill="1" applyBorder="1" applyProtection="1"/>
    <xf numFmtId="0" fontId="5" fillId="2" borderId="0" xfId="0" applyFont="1" applyFill="1" applyProtection="1"/>
    <xf numFmtId="0" fontId="5" fillId="2" borderId="0" xfId="0" applyFont="1" applyFill="1" applyAlignment="1" applyProtection="1">
      <alignment horizontal="left"/>
    </xf>
    <xf numFmtId="0" fontId="5" fillId="4" borderId="0" xfId="0" applyFont="1" applyFill="1" applyBorder="1" applyProtection="1"/>
    <xf numFmtId="0" fontId="24" fillId="2" borderId="0" xfId="0" applyFont="1" applyFill="1" applyProtection="1">
      <protection locked="0"/>
    </xf>
    <xf numFmtId="3" fontId="23" fillId="2" borderId="0" xfId="0" applyNumberFormat="1" applyFont="1" applyFill="1" applyProtection="1"/>
    <xf numFmtId="0" fontId="23" fillId="2" borderId="0" xfId="0" applyFont="1" applyFill="1" applyProtection="1"/>
    <xf numFmtId="0" fontId="9" fillId="4" borderId="0" xfId="1" applyFill="1" applyBorder="1" applyAlignment="1" applyProtection="1">
      <protection locked="0"/>
    </xf>
    <xf numFmtId="0" fontId="9" fillId="4" borderId="0" xfId="1" applyFill="1" applyBorder="1" applyAlignment="1" applyProtection="1"/>
    <xf numFmtId="0" fontId="0" fillId="2" borderId="0" xfId="0" applyFill="1"/>
    <xf numFmtId="0" fontId="25" fillId="2" borderId="0" xfId="0" applyFont="1" applyFill="1"/>
    <xf numFmtId="0" fontId="12" fillId="2" borderId="0" xfId="0" applyFont="1" applyFill="1"/>
    <xf numFmtId="0" fontId="9" fillId="2" borderId="0" xfId="1" applyFill="1" applyAlignment="1" applyProtection="1"/>
    <xf numFmtId="0" fontId="26" fillId="2" borderId="0" xfId="0" applyFont="1" applyFill="1"/>
    <xf numFmtId="0" fontId="12" fillId="2" borderId="0" xfId="0" applyFont="1" applyFill="1" applyBorder="1"/>
    <xf numFmtId="0" fontId="0" fillId="2" borderId="0" xfId="0" applyFill="1" applyBorder="1"/>
    <xf numFmtId="0" fontId="0" fillId="4" borderId="0" xfId="0" applyFill="1" applyBorder="1" applyAlignment="1" applyProtection="1"/>
    <xf numFmtId="165" fontId="3" fillId="4" borderId="0" xfId="0" applyNumberFormat="1" applyFont="1" applyFill="1" applyBorder="1" applyProtection="1"/>
    <xf numFmtId="0" fontId="10" fillId="2" borderId="0" xfId="0" applyFont="1" applyFill="1" applyProtection="1">
      <protection locked="0"/>
    </xf>
    <xf numFmtId="0" fontId="4" fillId="2" borderId="0" xfId="0" applyFont="1" applyFill="1" applyBorder="1" applyProtection="1"/>
    <xf numFmtId="0" fontId="41" fillId="2" borderId="0" xfId="0" applyFont="1" applyFill="1" applyProtection="1"/>
    <xf numFmtId="3" fontId="41" fillId="2" borderId="0" xfId="0" applyNumberFormat="1" applyFont="1" applyFill="1" applyProtection="1"/>
    <xf numFmtId="0" fontId="4" fillId="8" borderId="19" xfId="0" applyFont="1" applyFill="1" applyBorder="1" applyAlignment="1" applyProtection="1">
      <alignment horizontal="center"/>
    </xf>
    <xf numFmtId="0" fontId="4" fillId="8" borderId="20" xfId="0" applyFont="1" applyFill="1" applyBorder="1" applyAlignment="1" applyProtection="1">
      <alignment horizontal="center"/>
    </xf>
    <xf numFmtId="0" fontId="4" fillId="8" borderId="6" xfId="0" applyFont="1" applyFill="1" applyBorder="1" applyAlignment="1" applyProtection="1">
      <alignment horizontal="center"/>
    </xf>
    <xf numFmtId="0" fontId="4" fillId="8" borderId="21" xfId="0" applyFont="1" applyFill="1" applyBorder="1" applyAlignment="1" applyProtection="1">
      <alignment horizontal="center"/>
    </xf>
    <xf numFmtId="0" fontId="4" fillId="8" borderId="22" xfId="0" applyFont="1" applyFill="1" applyBorder="1" applyAlignment="1" applyProtection="1">
      <alignment horizontal="center"/>
    </xf>
    <xf numFmtId="0" fontId="11" fillId="8" borderId="14" xfId="0" applyFont="1" applyFill="1" applyBorder="1" applyProtection="1"/>
    <xf numFmtId="0" fontId="0" fillId="8" borderId="0" xfId="0" applyFill="1" applyBorder="1" applyProtection="1"/>
    <xf numFmtId="3" fontId="0" fillId="8" borderId="0" xfId="0" applyNumberFormat="1" applyFill="1" applyBorder="1" applyProtection="1"/>
    <xf numFmtId="0" fontId="5" fillId="0" borderId="0" xfId="0" applyFont="1" applyBorder="1"/>
    <xf numFmtId="0" fontId="42" fillId="9" borderId="0" xfId="0" applyFont="1" applyFill="1" applyBorder="1" applyProtection="1"/>
    <xf numFmtId="0" fontId="42" fillId="9" borderId="0" xfId="0" applyFont="1" applyFill="1" applyProtection="1"/>
    <xf numFmtId="0" fontId="42" fillId="9" borderId="0" xfId="0" applyFont="1" applyFill="1" applyBorder="1" applyAlignment="1" applyProtection="1">
      <alignment horizontal="center"/>
    </xf>
    <xf numFmtId="3" fontId="42" fillId="9" borderId="0" xfId="0" applyNumberFormat="1" applyFont="1" applyFill="1" applyBorder="1" applyProtection="1"/>
    <xf numFmtId="2" fontId="42" fillId="9" borderId="0" xfId="0" applyNumberFormat="1" applyFont="1" applyFill="1" applyBorder="1" applyProtection="1"/>
    <xf numFmtId="0" fontId="41" fillId="9" borderId="0" xfId="0" applyFont="1" applyFill="1" applyBorder="1" applyProtection="1"/>
    <xf numFmtId="0" fontId="41" fillId="9" borderId="0" xfId="0" applyFont="1" applyFill="1" applyProtection="1"/>
    <xf numFmtId="0" fontId="11" fillId="9" borderId="0" xfId="0" applyFont="1" applyFill="1" applyBorder="1" applyProtection="1"/>
    <xf numFmtId="0" fontId="0" fillId="9" borderId="0" xfId="0" applyFill="1" applyProtection="1"/>
    <xf numFmtId="0" fontId="5" fillId="9" borderId="0" xfId="0" applyFont="1" applyFill="1" applyBorder="1" applyProtection="1"/>
    <xf numFmtId="0" fontId="5" fillId="9" borderId="0" xfId="0" applyFont="1" applyFill="1" applyProtection="1"/>
    <xf numFmtId="0" fontId="43" fillId="2" borderId="0" xfId="0" applyFont="1" applyFill="1" applyBorder="1" applyProtection="1"/>
    <xf numFmtId="0" fontId="44" fillId="2" borderId="0" xfId="0" applyFont="1" applyFill="1" applyBorder="1" applyProtection="1"/>
    <xf numFmtId="3" fontId="44" fillId="2" borderId="0" xfId="0" applyNumberFormat="1" applyFont="1" applyFill="1" applyBorder="1" applyProtection="1"/>
    <xf numFmtId="0" fontId="45" fillId="2" borderId="0" xfId="0" applyFont="1" applyFill="1" applyBorder="1" applyProtection="1"/>
    <xf numFmtId="3" fontId="43" fillId="2" borderId="0" xfId="0" applyNumberFormat="1" applyFont="1" applyFill="1" applyBorder="1" applyProtection="1"/>
    <xf numFmtId="3" fontId="29" fillId="2" borderId="0" xfId="0" applyNumberFormat="1" applyFont="1" applyFill="1" applyBorder="1" applyProtection="1"/>
    <xf numFmtId="0" fontId="46" fillId="9" borderId="0" xfId="0" applyFont="1" applyFill="1" applyBorder="1" applyAlignment="1" applyProtection="1">
      <alignment horizontal="center"/>
    </xf>
    <xf numFmtId="2" fontId="42" fillId="9" borderId="0" xfId="0" applyNumberFormat="1" applyFont="1" applyFill="1" applyBorder="1" applyAlignment="1" applyProtection="1">
      <alignment horizontal="center"/>
    </xf>
    <xf numFmtId="0" fontId="47" fillId="9" borderId="0" xfId="0" applyFont="1" applyFill="1" applyBorder="1" applyProtection="1"/>
    <xf numFmtId="3" fontId="46" fillId="9" borderId="0" xfId="0" applyNumberFormat="1" applyFont="1" applyFill="1" applyBorder="1" applyAlignment="1" applyProtection="1">
      <alignment horizontal="center"/>
    </xf>
    <xf numFmtId="2" fontId="46" fillId="9" borderId="0" xfId="0" applyNumberFormat="1" applyFont="1" applyFill="1" applyBorder="1" applyAlignment="1" applyProtection="1">
      <alignment horizontal="center"/>
    </xf>
    <xf numFmtId="0" fontId="42" fillId="2" borderId="0" xfId="0" applyFont="1" applyFill="1" applyBorder="1" applyProtection="1"/>
    <xf numFmtId="0" fontId="44" fillId="3" borderId="0" xfId="0" applyFont="1" applyFill="1" applyBorder="1" applyAlignment="1" applyProtection="1">
      <alignment horizontal="right" vertical="center"/>
    </xf>
    <xf numFmtId="0" fontId="44" fillId="4" borderId="0" xfId="0" applyFont="1" applyFill="1" applyBorder="1" applyAlignment="1" applyProtection="1">
      <alignment horizontal="right"/>
    </xf>
    <xf numFmtId="174" fontId="44" fillId="3" borderId="0" xfId="0" applyNumberFormat="1" applyFont="1" applyFill="1" applyBorder="1" applyAlignment="1" applyProtection="1">
      <alignment horizontal="right"/>
    </xf>
    <xf numFmtId="0" fontId="44" fillId="3" borderId="0" xfId="0" applyFont="1" applyFill="1" applyBorder="1" applyProtection="1"/>
    <xf numFmtId="3" fontId="44" fillId="4" borderId="0" xfId="0" applyNumberFormat="1" applyFont="1" applyFill="1" applyBorder="1" applyProtection="1"/>
    <xf numFmtId="0" fontId="44" fillId="4" borderId="0" xfId="0" applyFont="1" applyFill="1" applyBorder="1" applyProtection="1"/>
    <xf numFmtId="3" fontId="44" fillId="4" borderId="0" xfId="0" applyNumberFormat="1" applyFont="1" applyFill="1" applyBorder="1" applyAlignment="1" applyProtection="1">
      <alignment horizontal="right"/>
    </xf>
    <xf numFmtId="0" fontId="48" fillId="3" borderId="0" xfId="0" applyFont="1" applyFill="1" applyBorder="1" applyAlignment="1" applyProtection="1">
      <alignment horizontal="left" vertical="center"/>
    </xf>
    <xf numFmtId="0" fontId="48" fillId="4" borderId="0" xfId="0" applyFont="1" applyFill="1" applyBorder="1" applyProtection="1"/>
    <xf numFmtId="3" fontId="3" fillId="4" borderId="0" xfId="0" applyNumberFormat="1" applyFont="1" applyFill="1" applyBorder="1" applyAlignment="1" applyProtection="1">
      <alignment horizontal="center"/>
    </xf>
    <xf numFmtId="0" fontId="44" fillId="3" borderId="0" xfId="0" applyFont="1" applyFill="1" applyBorder="1" applyAlignment="1" applyProtection="1">
      <alignment horizontal="right"/>
    </xf>
    <xf numFmtId="172" fontId="44" fillId="4" borderId="0" xfId="2" applyNumberFormat="1" applyFont="1" applyFill="1" applyBorder="1" applyProtection="1"/>
    <xf numFmtId="0" fontId="44" fillId="4" borderId="0" xfId="0" applyFont="1" applyFill="1" applyBorder="1" applyAlignment="1" applyProtection="1">
      <alignment horizontal="left"/>
    </xf>
    <xf numFmtId="0" fontId="48" fillId="4" borderId="0" xfId="0" applyFont="1" applyFill="1" applyBorder="1" applyAlignment="1" applyProtection="1">
      <alignment horizontal="left"/>
    </xf>
    <xf numFmtId="0" fontId="44" fillId="4" borderId="24" xfId="0" applyFont="1" applyFill="1" applyBorder="1" applyProtection="1"/>
    <xf numFmtId="0" fontId="44" fillId="4" borderId="23" xfId="0" applyNumberFormat="1" applyFont="1" applyFill="1" applyBorder="1" applyAlignment="1" applyProtection="1">
      <alignment horizontal="center"/>
    </xf>
    <xf numFmtId="0" fontId="44" fillId="4" borderId="23" xfId="0" quotePrefix="1" applyFont="1" applyFill="1" applyBorder="1" applyProtection="1"/>
    <xf numFmtId="0" fontId="44" fillId="4" borderId="23" xfId="0" applyFont="1" applyFill="1" applyBorder="1" applyAlignment="1" applyProtection="1">
      <alignment horizontal="center"/>
    </xf>
    <xf numFmtId="0" fontId="44" fillId="4" borderId="23" xfId="0" applyNumberFormat="1" applyFont="1" applyFill="1" applyBorder="1" applyAlignment="1" applyProtection="1">
      <alignment horizontal="left"/>
    </xf>
    <xf numFmtId="165" fontId="44" fillId="7" borderId="23" xfId="0" applyNumberFormat="1" applyFont="1" applyFill="1" applyBorder="1" applyAlignment="1" applyProtection="1">
      <alignment horizontal="right"/>
      <protection locked="0"/>
    </xf>
    <xf numFmtId="0" fontId="48" fillId="3" borderId="0" xfId="0" applyFont="1" applyFill="1" applyBorder="1" applyAlignment="1" applyProtection="1">
      <alignment horizontal="left"/>
    </xf>
    <xf numFmtId="0" fontId="44" fillId="3" borderId="24" xfId="0" applyFont="1" applyFill="1" applyBorder="1" applyProtection="1"/>
    <xf numFmtId="0" fontId="44" fillId="3" borderId="0" xfId="0" applyFont="1" applyFill="1" applyBorder="1" applyAlignment="1" applyProtection="1">
      <alignment horizontal="left"/>
    </xf>
    <xf numFmtId="0" fontId="0" fillId="4" borderId="0" xfId="0" applyFill="1" applyBorder="1" applyAlignment="1" applyProtection="1">
      <alignment horizontal="right"/>
    </xf>
    <xf numFmtId="3" fontId="0" fillId="4" borderId="0" xfId="0" applyNumberFormat="1" applyFill="1" applyBorder="1" applyProtection="1"/>
    <xf numFmtId="0" fontId="6" fillId="3" borderId="0" xfId="0" applyFont="1" applyFill="1" applyBorder="1" applyAlignment="1" applyProtection="1">
      <alignment horizontal="left"/>
    </xf>
    <xf numFmtId="0" fontId="1" fillId="11" borderId="0" xfId="0" applyFont="1" applyFill="1" applyBorder="1" applyAlignment="1" applyProtection="1">
      <alignment horizontal="right" vertical="center"/>
    </xf>
    <xf numFmtId="3" fontId="0" fillId="4" borderId="0" xfId="0" applyNumberFormat="1" applyFill="1" applyBorder="1" applyAlignment="1" applyProtection="1">
      <alignment wrapText="1"/>
    </xf>
    <xf numFmtId="3" fontId="0" fillId="4" borderId="0" xfId="0" applyNumberFormat="1" applyFill="1" applyBorder="1" applyAlignment="1" applyProtection="1"/>
    <xf numFmtId="0" fontId="53" fillId="2" borderId="0" xfId="0" applyFont="1" applyFill="1" applyBorder="1" applyProtection="1"/>
    <xf numFmtId="0" fontId="48" fillId="2" borderId="0" xfId="0" applyFont="1" applyFill="1" applyBorder="1" applyAlignment="1" applyProtection="1">
      <alignment horizontal="right"/>
    </xf>
    <xf numFmtId="2" fontId="44" fillId="2" borderId="0" xfId="0" applyNumberFormat="1" applyFont="1" applyFill="1" applyBorder="1" applyAlignment="1" applyProtection="1">
      <alignment horizontal="center"/>
    </xf>
    <xf numFmtId="0" fontId="54" fillId="2" borderId="0" xfId="0" applyFont="1" applyFill="1" applyBorder="1" applyAlignment="1" applyProtection="1">
      <alignment horizontal="right"/>
    </xf>
    <xf numFmtId="0" fontId="48" fillId="2" borderId="0" xfId="0" applyFont="1" applyFill="1" applyBorder="1" applyProtection="1"/>
    <xf numFmtId="3" fontId="48" fillId="0" borderId="0" xfId="0" applyNumberFormat="1" applyFont="1" applyFill="1" applyBorder="1" applyAlignment="1" applyProtection="1">
      <alignment horizontal="center"/>
    </xf>
    <xf numFmtId="0" fontId="0" fillId="9" borderId="0" xfId="0" applyFill="1" applyBorder="1" applyProtection="1"/>
    <xf numFmtId="0" fontId="55" fillId="2" borderId="0" xfId="0" applyFont="1" applyFill="1" applyProtection="1">
      <protection locked="0"/>
    </xf>
    <xf numFmtId="0" fontId="44" fillId="2" borderId="0" xfId="0" applyFont="1" applyFill="1" applyProtection="1"/>
    <xf numFmtId="0" fontId="44" fillId="2" borderId="0" xfId="0" applyFont="1" applyFill="1" applyAlignment="1" applyProtection="1">
      <alignment horizontal="left"/>
    </xf>
    <xf numFmtId="0" fontId="54" fillId="2" borderId="0" xfId="0" applyFont="1" applyFill="1" applyProtection="1"/>
    <xf numFmtId="0" fontId="56" fillId="4" borderId="0" xfId="1" applyFont="1" applyFill="1" applyBorder="1" applyAlignment="1" applyProtection="1"/>
    <xf numFmtId="0" fontId="44" fillId="4" borderId="23" xfId="0" quotePrefix="1" applyFont="1" applyFill="1" applyBorder="1" applyAlignment="1" applyProtection="1">
      <alignment horizontal="center"/>
    </xf>
    <xf numFmtId="0" fontId="48" fillId="4" borderId="24" xfId="0" applyFont="1" applyFill="1" applyBorder="1" applyAlignment="1" applyProtection="1">
      <alignment horizontal="left"/>
    </xf>
    <xf numFmtId="0" fontId="50" fillId="4" borderId="0" xfId="0" applyFont="1" applyFill="1" applyBorder="1" applyAlignment="1" applyProtection="1">
      <alignment horizontal="left"/>
    </xf>
    <xf numFmtId="0" fontId="44" fillId="4" borderId="23" xfId="0" quotePrefix="1" applyNumberFormat="1" applyFont="1" applyFill="1" applyBorder="1" applyAlignment="1" applyProtection="1">
      <alignment horizontal="center"/>
    </xf>
    <xf numFmtId="176" fontId="44" fillId="4" borderId="23" xfId="0" applyNumberFormat="1" applyFont="1" applyFill="1" applyBorder="1" applyAlignment="1" applyProtection="1">
      <alignment horizontal="center"/>
    </xf>
    <xf numFmtId="16" fontId="48" fillId="4" borderId="24" xfId="0" applyNumberFormat="1" applyFont="1" applyFill="1" applyBorder="1" applyProtection="1"/>
    <xf numFmtId="177" fontId="44" fillId="4" borderId="23" xfId="2" quotePrefix="1" applyNumberFormat="1" applyFont="1" applyFill="1" applyBorder="1" applyAlignment="1" applyProtection="1">
      <alignment horizontal="center"/>
    </xf>
    <xf numFmtId="0" fontId="48" fillId="4" borderId="24" xfId="0" applyFont="1" applyFill="1" applyBorder="1" applyProtection="1"/>
    <xf numFmtId="0" fontId="44" fillId="4" borderId="0" xfId="0" applyNumberFormat="1" applyFont="1" applyFill="1" applyBorder="1" applyAlignment="1" applyProtection="1">
      <alignment horizontal="center"/>
    </xf>
    <xf numFmtId="175" fontId="44" fillId="4" borderId="0" xfId="2" applyNumberFormat="1" applyFont="1" applyFill="1" applyBorder="1" applyAlignment="1" applyProtection="1">
      <alignment horizontal="center"/>
    </xf>
    <xf numFmtId="177" fontId="44" fillId="4" borderId="0" xfId="2" quotePrefix="1" applyNumberFormat="1" applyFont="1" applyFill="1" applyBorder="1" applyAlignment="1" applyProtection="1">
      <alignment horizontal="center"/>
    </xf>
    <xf numFmtId="0" fontId="48" fillId="4" borderId="0" xfId="0" applyNumberFormat="1" applyFont="1" applyFill="1" applyBorder="1" applyAlignment="1" applyProtection="1">
      <alignment horizontal="left"/>
    </xf>
    <xf numFmtId="0" fontId="44" fillId="2" borderId="0" xfId="0" applyFont="1" applyFill="1" applyBorder="1" applyAlignment="1" applyProtection="1">
      <alignment horizontal="center"/>
    </xf>
    <xf numFmtId="0" fontId="48" fillId="2" borderId="0" xfId="0" applyFont="1" applyFill="1" applyBorder="1" applyAlignment="1" applyProtection="1">
      <alignment horizontal="left"/>
    </xf>
    <xf numFmtId="0" fontId="56" fillId="4" borderId="0" xfId="1" applyFont="1" applyFill="1" applyBorder="1" applyAlignment="1" applyProtection="1">
      <protection locked="0"/>
    </xf>
    <xf numFmtId="0" fontId="44" fillId="4" borderId="0" xfId="0" applyFont="1" applyFill="1" applyBorder="1"/>
    <xf numFmtId="0" fontId="10" fillId="4" borderId="0" xfId="0" applyFont="1" applyFill="1" applyBorder="1" applyProtection="1"/>
    <xf numFmtId="0" fontId="44" fillId="4" borderId="23" xfId="0" applyNumberFormat="1" applyFont="1" applyFill="1" applyBorder="1" applyAlignment="1" applyProtection="1">
      <alignment horizontal="center"/>
    </xf>
    <xf numFmtId="0" fontId="57" fillId="4" borderId="0" xfId="0" applyFont="1" applyFill="1" applyBorder="1" applyProtection="1"/>
    <xf numFmtId="0" fontId="28" fillId="9" borderId="0" xfId="0" applyFont="1" applyFill="1" applyBorder="1" applyAlignment="1" applyProtection="1">
      <alignment horizontal="center"/>
    </xf>
    <xf numFmtId="0" fontId="42" fillId="2" borderId="0" xfId="0" applyFont="1" applyFill="1" applyProtection="1"/>
    <xf numFmtId="0" fontId="46" fillId="9" borderId="0" xfId="0" applyFont="1" applyFill="1" applyProtection="1"/>
    <xf numFmtId="0" fontId="46" fillId="2" borderId="0" xfId="0" applyFont="1" applyFill="1" applyProtection="1"/>
    <xf numFmtId="3" fontId="42" fillId="2" borderId="0" xfId="0" applyNumberFormat="1" applyFont="1" applyFill="1" applyProtection="1"/>
    <xf numFmtId="0" fontId="44" fillId="4" borderId="23" xfId="0" applyNumberFormat="1" applyFont="1" applyFill="1" applyBorder="1" applyAlignment="1" applyProtection="1">
      <alignment horizontal="center"/>
    </xf>
    <xf numFmtId="0" fontId="44" fillId="2" borderId="0" xfId="0" applyFont="1" applyFill="1" applyBorder="1" applyAlignment="1" applyProtection="1">
      <alignment horizontal="right"/>
    </xf>
    <xf numFmtId="10" fontId="44" fillId="2" borderId="0" xfId="3" applyNumberFormat="1" applyFont="1" applyFill="1" applyBorder="1" applyAlignment="1" applyProtection="1">
      <alignment horizontal="center"/>
    </xf>
    <xf numFmtId="2" fontId="42" fillId="9" borderId="0" xfId="0" applyNumberFormat="1" applyFont="1" applyFill="1" applyProtection="1"/>
    <xf numFmtId="169" fontId="0" fillId="2" borderId="0" xfId="3" applyNumberFormat="1" applyFont="1" applyFill="1" applyProtection="1"/>
    <xf numFmtId="3" fontId="41" fillId="9" borderId="0" xfId="0" applyNumberFormat="1" applyFont="1" applyFill="1" applyBorder="1" applyProtection="1"/>
    <xf numFmtId="0" fontId="51" fillId="9" borderId="0" xfId="0" applyFont="1" applyFill="1" applyBorder="1" applyProtection="1"/>
    <xf numFmtId="3" fontId="41" fillId="9" borderId="0" xfId="0" applyNumberFormat="1" applyFont="1" applyFill="1" applyProtection="1"/>
    <xf numFmtId="0" fontId="0" fillId="0" borderId="0" xfId="0" applyFill="1" applyBorder="1" applyProtection="1"/>
    <xf numFmtId="0" fontId="0" fillId="0" borderId="0" xfId="0" applyFill="1" applyProtection="1"/>
    <xf numFmtId="0" fontId="42" fillId="0" borderId="0" xfId="0" applyFont="1" applyFill="1" applyBorder="1" applyProtection="1"/>
    <xf numFmtId="0" fontId="42" fillId="0" borderId="0" xfId="0" applyFont="1" applyFill="1" applyProtection="1"/>
    <xf numFmtId="171" fontId="44" fillId="4" borderId="0" xfId="2" applyNumberFormat="1" applyFont="1" applyFill="1" applyBorder="1" applyProtection="1"/>
    <xf numFmtId="0" fontId="48" fillId="3" borderId="0" xfId="0" applyFont="1" applyFill="1" applyBorder="1" applyAlignment="1" applyProtection="1"/>
    <xf numFmtId="0" fontId="44" fillId="4" borderId="0" xfId="0" applyFont="1" applyFill="1" applyBorder="1" applyAlignment="1" applyProtection="1"/>
    <xf numFmtId="171" fontId="44" fillId="4" borderId="0" xfId="2" applyNumberFormat="1" applyFont="1" applyFill="1" applyBorder="1" applyAlignment="1" applyProtection="1">
      <alignment horizontal="right"/>
    </xf>
    <xf numFmtId="171" fontId="44" fillId="4" borderId="0" xfId="2" applyNumberFormat="1" applyFont="1" applyFill="1" applyBorder="1" applyAlignment="1" applyProtection="1"/>
    <xf numFmtId="0" fontId="3" fillId="0" borderId="0" xfId="0" applyFont="1" applyFill="1" applyBorder="1" applyProtection="1"/>
    <xf numFmtId="0" fontId="44" fillId="3" borderId="0" xfId="0" applyFont="1" applyFill="1" applyBorder="1" applyAlignment="1" applyProtection="1">
      <alignment horizontal="center" vertical="center"/>
    </xf>
    <xf numFmtId="0" fontId="44" fillId="4" borderId="0" xfId="0" applyFont="1" applyFill="1" applyBorder="1" applyAlignment="1" applyProtection="1">
      <alignment vertical="center" wrapText="1"/>
    </xf>
    <xf numFmtId="172" fontId="44" fillId="4" borderId="0" xfId="0" applyNumberFormat="1" applyFont="1" applyFill="1" applyBorder="1" applyAlignment="1" applyProtection="1">
      <alignment vertical="center" wrapText="1"/>
    </xf>
    <xf numFmtId="0" fontId="39" fillId="13" borderId="26" xfId="0" applyFont="1" applyFill="1" applyBorder="1" applyAlignment="1" applyProtection="1">
      <alignment horizontal="center"/>
    </xf>
    <xf numFmtId="0" fontId="40" fillId="13" borderId="26" xfId="0" applyFont="1" applyFill="1" applyBorder="1" applyAlignment="1" applyProtection="1">
      <alignment horizontal="center"/>
    </xf>
    <xf numFmtId="3" fontId="43" fillId="2" borderId="0" xfId="0" applyNumberFormat="1" applyFont="1" applyFill="1" applyBorder="1" applyAlignment="1" applyProtection="1">
      <alignment horizontal="center"/>
    </xf>
    <xf numFmtId="172" fontId="39" fillId="13" borderId="26" xfId="2" applyNumberFormat="1" applyFont="1" applyFill="1" applyBorder="1" applyAlignment="1" applyProtection="1">
      <alignment horizontal="center"/>
    </xf>
    <xf numFmtId="3" fontId="43" fillId="15" borderId="26" xfId="2" applyNumberFormat="1" applyFont="1" applyFill="1" applyBorder="1" applyAlignment="1" applyProtection="1">
      <alignment horizontal="center"/>
    </xf>
    <xf numFmtId="3" fontId="43" fillId="14" borderId="26" xfId="2" applyNumberFormat="1" applyFont="1" applyFill="1" applyBorder="1" applyAlignment="1" applyProtection="1">
      <alignment horizontal="center"/>
    </xf>
    <xf numFmtId="0" fontId="58" fillId="13" borderId="26" xfId="0" applyFont="1" applyFill="1" applyBorder="1" applyAlignment="1" applyProtection="1">
      <alignment horizontal="left"/>
    </xf>
    <xf numFmtId="0" fontId="44" fillId="14" borderId="26" xfId="0" applyFont="1" applyFill="1" applyBorder="1" applyAlignment="1" applyProtection="1">
      <alignment horizontal="center"/>
    </xf>
    <xf numFmtId="171" fontId="44" fillId="14" borderId="26" xfId="2" applyNumberFormat="1" applyFont="1" applyFill="1" applyBorder="1" applyAlignment="1" applyProtection="1">
      <alignment horizontal="center"/>
    </xf>
    <xf numFmtId="0" fontId="48" fillId="9" borderId="0" xfId="0" applyFont="1" applyFill="1" applyBorder="1" applyAlignment="1" applyProtection="1">
      <alignment horizontal="left"/>
    </xf>
    <xf numFmtId="0" fontId="44" fillId="9" borderId="0" xfId="0" applyFont="1" applyFill="1" applyBorder="1" applyAlignment="1" applyProtection="1">
      <alignment horizontal="left"/>
    </xf>
    <xf numFmtId="0" fontId="44" fillId="9" borderId="0" xfId="0" applyFont="1" applyFill="1" applyBorder="1" applyProtection="1"/>
    <xf numFmtId="0" fontId="44" fillId="11" borderId="0" xfId="0" applyFont="1" applyFill="1" applyBorder="1" applyProtection="1"/>
    <xf numFmtId="0" fontId="44" fillId="9" borderId="0" xfId="0" applyFont="1" applyFill="1" applyBorder="1" applyAlignment="1" applyProtection="1">
      <alignment horizontal="right"/>
    </xf>
    <xf numFmtId="171" fontId="44" fillId="9" borderId="0" xfId="2" applyNumberFormat="1" applyFont="1" applyFill="1" applyBorder="1" applyProtection="1"/>
    <xf numFmtId="0" fontId="44" fillId="9" borderId="0" xfId="0" applyFont="1" applyFill="1" applyBorder="1" applyAlignment="1" applyProtection="1">
      <alignment vertical="center" wrapText="1"/>
    </xf>
    <xf numFmtId="0" fontId="44" fillId="4" borderId="42" xfId="0" applyFont="1" applyFill="1" applyBorder="1" applyProtection="1"/>
    <xf numFmtId="0" fontId="44" fillId="4" borderId="42" xfId="0" applyFont="1" applyFill="1" applyBorder="1" applyAlignment="1" applyProtection="1">
      <alignment vertical="center" wrapText="1"/>
    </xf>
    <xf numFmtId="0" fontId="44" fillId="4" borderId="41" xfId="0" applyFont="1" applyFill="1" applyBorder="1" applyProtection="1"/>
    <xf numFmtId="0" fontId="44" fillId="4" borderId="41" xfId="0" applyFont="1" applyFill="1" applyBorder="1" applyAlignment="1" applyProtection="1">
      <alignment horizontal="right"/>
    </xf>
    <xf numFmtId="0" fontId="60" fillId="12" borderId="34" xfId="0" applyFont="1" applyFill="1" applyBorder="1" applyAlignment="1" applyProtection="1">
      <alignment vertical="center"/>
    </xf>
    <xf numFmtId="0" fontId="60" fillId="12" borderId="36" xfId="0" applyFont="1" applyFill="1" applyBorder="1" applyAlignment="1" applyProtection="1">
      <alignment vertical="center"/>
    </xf>
    <xf numFmtId="0" fontId="61" fillId="12" borderId="36" xfId="0" applyFont="1" applyFill="1" applyBorder="1" applyAlignment="1" applyProtection="1">
      <alignment vertical="center"/>
    </xf>
    <xf numFmtId="0" fontId="62" fillId="12" borderId="36" xfId="0" applyFont="1" applyFill="1" applyBorder="1" applyProtection="1"/>
    <xf numFmtId="0" fontId="62" fillId="12" borderId="35" xfId="0" applyFont="1" applyFill="1" applyBorder="1" applyProtection="1"/>
    <xf numFmtId="0" fontId="44" fillId="3" borderId="33" xfId="0" applyFont="1" applyFill="1" applyBorder="1" applyAlignment="1" applyProtection="1">
      <alignment horizontal="right"/>
    </xf>
    <xf numFmtId="0" fontId="44" fillId="3" borderId="37" xfId="0" applyFont="1" applyFill="1" applyBorder="1" applyAlignment="1" applyProtection="1">
      <alignment horizontal="right"/>
    </xf>
    <xf numFmtId="0" fontId="44" fillId="3" borderId="37" xfId="0" applyFont="1" applyFill="1" applyBorder="1" applyAlignment="1" applyProtection="1">
      <alignment horizontal="left"/>
    </xf>
    <xf numFmtId="0" fontId="44" fillId="3" borderId="37" xfId="0" applyFont="1" applyFill="1" applyBorder="1" applyProtection="1"/>
    <xf numFmtId="0" fontId="44" fillId="3" borderId="38" xfId="0" applyFont="1" applyFill="1" applyBorder="1" applyProtection="1"/>
    <xf numFmtId="0" fontId="44" fillId="3" borderId="41" xfId="0" applyFont="1" applyFill="1" applyBorder="1" applyAlignment="1" applyProtection="1">
      <alignment horizontal="right"/>
    </xf>
    <xf numFmtId="0" fontId="44" fillId="3" borderId="42" xfId="0" applyFont="1" applyFill="1" applyBorder="1" applyProtection="1"/>
    <xf numFmtId="0" fontId="44" fillId="3" borderId="41" xfId="0" applyFont="1" applyFill="1" applyBorder="1" applyAlignment="1" applyProtection="1">
      <alignment horizontal="right" vertical="center"/>
    </xf>
    <xf numFmtId="0" fontId="49" fillId="4" borderId="41" xfId="0" applyFont="1" applyFill="1" applyBorder="1" applyAlignment="1" applyProtection="1">
      <alignment horizontal="right"/>
    </xf>
    <xf numFmtId="0" fontId="52" fillId="4" borderId="42" xfId="0" applyFont="1" applyFill="1" applyBorder="1" applyAlignment="1" applyProtection="1">
      <alignment horizontal="center"/>
    </xf>
    <xf numFmtId="0" fontId="44" fillId="4" borderId="39" xfId="0" applyFont="1" applyFill="1" applyBorder="1" applyProtection="1"/>
    <xf numFmtId="0" fontId="44" fillId="4" borderId="32" xfId="0" applyFont="1" applyFill="1" applyBorder="1" applyProtection="1"/>
    <xf numFmtId="0" fontId="44" fillId="4" borderId="40" xfId="0" applyFont="1" applyFill="1" applyBorder="1" applyProtection="1"/>
    <xf numFmtId="0" fontId="44" fillId="3" borderId="41" xfId="0" applyFont="1" applyFill="1" applyBorder="1" applyAlignment="1" applyProtection="1">
      <alignment horizontal="center" vertical="center"/>
    </xf>
    <xf numFmtId="0" fontId="48" fillId="4" borderId="41" xfId="0" applyFont="1" applyFill="1" applyBorder="1" applyAlignment="1" applyProtection="1">
      <alignment horizontal="left"/>
    </xf>
    <xf numFmtId="0" fontId="44" fillId="4" borderId="42" xfId="0" applyFont="1" applyFill="1" applyBorder="1" applyAlignment="1" applyProtection="1">
      <alignment horizontal="center"/>
    </xf>
    <xf numFmtId="0" fontId="44" fillId="3" borderId="42" xfId="0" applyFont="1" applyFill="1" applyBorder="1" applyAlignment="1" applyProtection="1">
      <alignment horizontal="left"/>
    </xf>
    <xf numFmtId="0" fontId="44" fillId="4" borderId="42" xfId="0" applyFont="1" applyFill="1" applyBorder="1" applyAlignment="1" applyProtection="1">
      <alignment horizontal="left"/>
    </xf>
    <xf numFmtId="0" fontId="44" fillId="3" borderId="41" xfId="0" applyFont="1" applyFill="1" applyBorder="1" applyProtection="1"/>
    <xf numFmtId="0" fontId="44" fillId="4" borderId="41" xfId="0" applyFont="1" applyFill="1" applyBorder="1" applyAlignment="1" applyProtection="1">
      <alignment horizontal="center"/>
    </xf>
    <xf numFmtId="3" fontId="3" fillId="9" borderId="0" xfId="0" applyNumberFormat="1" applyFont="1" applyFill="1" applyBorder="1" applyAlignment="1" applyProtection="1">
      <alignment horizontal="left"/>
    </xf>
    <xf numFmtId="0" fontId="44" fillId="4" borderId="42" xfId="0" applyFont="1" applyFill="1" applyBorder="1" applyAlignment="1" applyProtection="1"/>
    <xf numFmtId="0" fontId="44" fillId="4" borderId="41" xfId="0" applyFont="1" applyFill="1" applyBorder="1" applyAlignment="1" applyProtection="1"/>
    <xf numFmtId="0" fontId="1" fillId="16" borderId="0" xfId="0" applyFont="1" applyFill="1" applyBorder="1" applyAlignment="1" applyProtection="1">
      <alignment horizontal="right" vertical="center"/>
    </xf>
    <xf numFmtId="3" fontId="3" fillId="8" borderId="0" xfId="0" applyNumberFormat="1" applyFont="1" applyFill="1" applyBorder="1" applyAlignment="1" applyProtection="1">
      <alignment horizontal="left"/>
    </xf>
    <xf numFmtId="0" fontId="48" fillId="4" borderId="0" xfId="0" applyFont="1" applyFill="1" applyBorder="1" applyAlignment="1" applyProtection="1">
      <alignment vertical="center" wrapText="1"/>
    </xf>
    <xf numFmtId="3" fontId="0" fillId="9" borderId="0" xfId="0" applyNumberFormat="1" applyFill="1" applyProtection="1"/>
    <xf numFmtId="3" fontId="0" fillId="9" borderId="0" xfId="0" applyNumberFormat="1" applyFill="1" applyBorder="1" applyProtection="1"/>
    <xf numFmtId="0" fontId="48" fillId="9" borderId="41" xfId="0" applyFont="1" applyFill="1" applyBorder="1" applyAlignment="1" applyProtection="1">
      <alignment horizontal="left"/>
    </xf>
    <xf numFmtId="0" fontId="44" fillId="9" borderId="42" xfId="0" applyFont="1" applyFill="1" applyBorder="1" applyProtection="1"/>
    <xf numFmtId="0" fontId="44" fillId="9" borderId="41" xfId="0" applyFont="1" applyFill="1" applyBorder="1" applyProtection="1"/>
    <xf numFmtId="0" fontId="44" fillId="9" borderId="0" xfId="0" applyFont="1" applyFill="1" applyBorder="1" applyAlignment="1" applyProtection="1">
      <alignment horizontal="left" vertical="center" wrapText="1"/>
    </xf>
    <xf numFmtId="0" fontId="1" fillId="3" borderId="41" xfId="0" applyFont="1" applyFill="1" applyBorder="1" applyAlignment="1" applyProtection="1">
      <alignment horizontal="right" vertical="center"/>
    </xf>
    <xf numFmtId="0" fontId="1" fillId="3" borderId="42" xfId="0" applyFont="1" applyFill="1" applyBorder="1" applyAlignment="1" applyProtection="1">
      <alignment horizontal="right" vertical="center"/>
    </xf>
    <xf numFmtId="0" fontId="1" fillId="16" borderId="41" xfId="0" applyFont="1" applyFill="1" applyBorder="1" applyAlignment="1" applyProtection="1">
      <alignment horizontal="right" vertical="center"/>
    </xf>
    <xf numFmtId="3" fontId="3" fillId="8" borderId="42" xfId="0" applyNumberFormat="1" applyFont="1" applyFill="1" applyBorder="1" applyAlignment="1" applyProtection="1">
      <alignment horizontal="left"/>
    </xf>
    <xf numFmtId="0" fontId="1" fillId="16" borderId="39" xfId="0" applyFont="1" applyFill="1" applyBorder="1" applyAlignment="1" applyProtection="1">
      <alignment horizontal="right" vertical="center"/>
    </xf>
    <xf numFmtId="0" fontId="1" fillId="16" borderId="32" xfId="0" applyFont="1" applyFill="1" applyBorder="1" applyAlignment="1" applyProtection="1">
      <alignment horizontal="right" vertical="center"/>
    </xf>
    <xf numFmtId="3" fontId="3" fillId="8" borderId="32" xfId="0" applyNumberFormat="1" applyFont="1" applyFill="1" applyBorder="1" applyAlignment="1" applyProtection="1">
      <alignment horizontal="left"/>
    </xf>
    <xf numFmtId="3" fontId="3" fillId="8" borderId="40" xfId="0" applyNumberFormat="1" applyFont="1" applyFill="1" applyBorder="1" applyAlignment="1" applyProtection="1">
      <alignment horizontal="left"/>
    </xf>
    <xf numFmtId="171" fontId="48" fillId="4" borderId="0" xfId="2" applyNumberFormat="1" applyFont="1" applyFill="1" applyBorder="1" applyAlignment="1" applyProtection="1">
      <alignment vertical="center" wrapText="1"/>
    </xf>
    <xf numFmtId="0" fontId="44" fillId="4" borderId="42" xfId="0" applyFont="1" applyFill="1" applyBorder="1" applyAlignment="1" applyProtection="1">
      <alignment horizontal="left" vertical="center" wrapText="1"/>
    </xf>
    <xf numFmtId="0" fontId="48" fillId="4" borderId="39" xfId="0" applyFont="1" applyFill="1" applyBorder="1" applyAlignment="1" applyProtection="1">
      <alignment horizontal="left"/>
    </xf>
    <xf numFmtId="0" fontId="48" fillId="4" borderId="32" xfId="0" applyFont="1" applyFill="1" applyBorder="1" applyAlignment="1" applyProtection="1">
      <alignment horizontal="left"/>
    </xf>
    <xf numFmtId="0" fontId="44" fillId="4" borderId="32" xfId="0" applyFont="1" applyFill="1" applyBorder="1" applyAlignment="1" applyProtection="1">
      <alignment horizontal="left" vertical="center" wrapText="1"/>
    </xf>
    <xf numFmtId="0" fontId="44" fillId="4" borderId="40" xfId="0" applyFont="1" applyFill="1" applyBorder="1" applyAlignment="1" applyProtection="1">
      <alignment horizontal="left" vertical="center" wrapText="1"/>
    </xf>
    <xf numFmtId="0" fontId="0" fillId="0" borderId="0" xfId="0" applyFill="1"/>
    <xf numFmtId="0" fontId="1" fillId="0" borderId="0" xfId="0" applyFont="1"/>
    <xf numFmtId="0" fontId="1" fillId="9" borderId="8" xfId="0" applyFont="1" applyFill="1" applyBorder="1" applyAlignment="1" applyProtection="1">
      <alignment horizontal="center"/>
    </xf>
    <xf numFmtId="0" fontId="0" fillId="0" borderId="8" xfId="0" applyBorder="1"/>
    <xf numFmtId="0" fontId="0" fillId="0" borderId="8" xfId="0" applyFill="1" applyBorder="1"/>
    <xf numFmtId="171" fontId="0" fillId="0" borderId="8" xfId="2" applyNumberFormat="1" applyFont="1" applyBorder="1"/>
    <xf numFmtId="0" fontId="1" fillId="0" borderId="8" xfId="0" applyFont="1" applyBorder="1"/>
    <xf numFmtId="0" fontId="41" fillId="0" borderId="0" xfId="0" applyFont="1" applyFill="1" applyAlignment="1" applyProtection="1">
      <alignment horizontal="center"/>
    </xf>
    <xf numFmtId="3" fontId="0" fillId="0" borderId="0" xfId="0" applyNumberFormat="1"/>
    <xf numFmtId="16" fontId="0" fillId="0" borderId="0" xfId="0" applyNumberFormat="1"/>
    <xf numFmtId="0" fontId="0" fillId="0" borderId="0" xfId="0" applyAlignment="1">
      <alignment horizontal="center"/>
    </xf>
    <xf numFmtId="0" fontId="41" fillId="0" borderId="0" xfId="0" applyFont="1" applyFill="1" applyProtection="1"/>
    <xf numFmtId="0" fontId="41" fillId="0" borderId="0" xfId="0" applyFont="1" applyFill="1" applyBorder="1" applyProtection="1"/>
    <xf numFmtId="0" fontId="51" fillId="0" borderId="0" xfId="0" applyFont="1" applyFill="1" applyBorder="1" applyProtection="1"/>
    <xf numFmtId="3" fontId="0" fillId="0" borderId="0" xfId="0" applyNumberFormat="1" applyAlignment="1">
      <alignment horizontal="center"/>
    </xf>
    <xf numFmtId="0" fontId="1" fillId="0" borderId="0" xfId="0" applyFont="1" applyAlignment="1">
      <alignment horizontal="center"/>
    </xf>
    <xf numFmtId="0" fontId="48" fillId="9" borderId="0" xfId="0" applyFont="1" applyFill="1" applyBorder="1" applyAlignment="1" applyProtection="1">
      <alignment horizontal="center"/>
    </xf>
    <xf numFmtId="0" fontId="58" fillId="9" borderId="26" xfId="0" applyFont="1" applyFill="1" applyBorder="1" applyProtection="1"/>
    <xf numFmtId="171" fontId="69" fillId="9" borderId="0" xfId="2" applyNumberFormat="1" applyFont="1" applyFill="1" applyBorder="1" applyAlignment="1" applyProtection="1">
      <alignment vertical="center" wrapText="1"/>
    </xf>
    <xf numFmtId="171" fontId="69" fillId="9" borderId="32" xfId="2" applyNumberFormat="1" applyFont="1" applyFill="1" applyBorder="1" applyAlignment="1" applyProtection="1">
      <alignment vertical="center" wrapText="1"/>
    </xf>
    <xf numFmtId="3" fontId="0" fillId="4" borderId="33" xfId="0" applyNumberFormat="1" applyFill="1" applyBorder="1" applyProtection="1"/>
    <xf numFmtId="3" fontId="0" fillId="4" borderId="37" xfId="0" applyNumberFormat="1" applyFill="1" applyBorder="1" applyProtection="1"/>
    <xf numFmtId="0" fontId="0" fillId="4" borderId="37" xfId="0" applyFill="1" applyBorder="1" applyProtection="1"/>
    <xf numFmtId="0" fontId="0" fillId="4" borderId="38" xfId="0" applyFill="1" applyBorder="1" applyProtection="1"/>
    <xf numFmtId="3" fontId="0" fillId="4" borderId="41" xfId="0" applyNumberFormat="1" applyFill="1" applyBorder="1" applyProtection="1"/>
    <xf numFmtId="0" fontId="0" fillId="4" borderId="42" xfId="0" applyFill="1" applyBorder="1" applyProtection="1"/>
    <xf numFmtId="0" fontId="0" fillId="4" borderId="41" xfId="0" applyFill="1" applyBorder="1" applyProtection="1"/>
    <xf numFmtId="3" fontId="0" fillId="4" borderId="41" xfId="0" applyNumberFormat="1" applyFill="1" applyBorder="1" applyAlignment="1" applyProtection="1">
      <alignment wrapText="1"/>
    </xf>
    <xf numFmtId="3" fontId="0" fillId="4" borderId="41" xfId="0" applyNumberFormat="1" applyFill="1" applyBorder="1" applyAlignment="1" applyProtection="1"/>
    <xf numFmtId="3" fontId="3" fillId="4" borderId="41" xfId="0" applyNumberFormat="1" applyFont="1" applyFill="1" applyBorder="1" applyAlignment="1" applyProtection="1">
      <alignment horizontal="center"/>
    </xf>
    <xf numFmtId="0" fontId="0" fillId="4" borderId="42" xfId="0" applyFill="1" applyBorder="1" applyAlignment="1" applyProtection="1">
      <alignment horizontal="left"/>
    </xf>
    <xf numFmtId="0" fontId="44" fillId="8" borderId="41" xfId="0" applyFont="1" applyFill="1" applyBorder="1" applyAlignment="1" applyProtection="1">
      <alignment horizontal="right"/>
    </xf>
    <xf numFmtId="164" fontId="44" fillId="8" borderId="0" xfId="2" applyFont="1" applyFill="1" applyBorder="1" applyAlignment="1" applyProtection="1"/>
    <xf numFmtId="0" fontId="44" fillId="8" borderId="0" xfId="0" applyFont="1" applyFill="1" applyBorder="1" applyAlignment="1" applyProtection="1"/>
    <xf numFmtId="0" fontId="44" fillId="8" borderId="42" xfId="0" applyFont="1" applyFill="1" applyBorder="1" applyAlignment="1" applyProtection="1"/>
    <xf numFmtId="0" fontId="44" fillId="8" borderId="0" xfId="0" applyFont="1" applyFill="1" applyBorder="1" applyProtection="1"/>
    <xf numFmtId="0" fontId="44" fillId="8" borderId="42" xfId="0" applyFont="1" applyFill="1" applyBorder="1" applyProtection="1"/>
    <xf numFmtId="0" fontId="44" fillId="8" borderId="32" xfId="0" applyFont="1" applyFill="1" applyBorder="1" applyProtection="1"/>
    <xf numFmtId="0" fontId="44" fillId="8" borderId="40" xfId="0" applyFont="1" applyFill="1" applyBorder="1" applyProtection="1"/>
    <xf numFmtId="171" fontId="44" fillId="8" borderId="0" xfId="2" applyNumberFormat="1" applyFont="1" applyFill="1" applyBorder="1" applyProtection="1"/>
    <xf numFmtId="172" fontId="44" fillId="8" borderId="0" xfId="2" applyNumberFormat="1" applyFont="1" applyFill="1" applyBorder="1" applyProtection="1"/>
    <xf numFmtId="0" fontId="48" fillId="8" borderId="39" xfId="0" applyFont="1" applyFill="1" applyBorder="1" applyAlignment="1" applyProtection="1">
      <alignment horizontal="left"/>
    </xf>
    <xf numFmtId="0" fontId="44" fillId="16" borderId="41" xfId="0" applyFont="1" applyFill="1" applyBorder="1" applyAlignment="1" applyProtection="1">
      <alignment horizontal="center" vertical="center"/>
    </xf>
    <xf numFmtId="0" fontId="44" fillId="16" borderId="41" xfId="0" applyFont="1" applyFill="1" applyBorder="1" applyAlignment="1" applyProtection="1">
      <alignment horizontal="right" vertical="center"/>
    </xf>
    <xf numFmtId="0" fontId="44" fillId="16" borderId="41" xfId="0" applyFont="1" applyFill="1" applyBorder="1" applyAlignment="1" applyProtection="1">
      <alignment horizontal="right"/>
    </xf>
    <xf numFmtId="0" fontId="48" fillId="8" borderId="41" xfId="0" applyFont="1" applyFill="1" applyBorder="1" applyAlignment="1" applyProtection="1">
      <alignment horizontal="left"/>
    </xf>
    <xf numFmtId="0" fontId="44" fillId="16" borderId="0" xfId="0" applyFont="1" applyFill="1" applyBorder="1" applyAlignment="1" applyProtection="1">
      <alignment horizontal="center" vertical="center"/>
    </xf>
    <xf numFmtId="0" fontId="44" fillId="16" borderId="42" xfId="0" applyFont="1" applyFill="1" applyBorder="1" applyAlignment="1" applyProtection="1">
      <alignment horizontal="center" vertical="center"/>
    </xf>
    <xf numFmtId="0" fontId="44" fillId="16" borderId="42" xfId="0" applyFont="1" applyFill="1" applyBorder="1" applyProtection="1"/>
    <xf numFmtId="0" fontId="44" fillId="8" borderId="42" xfId="0" applyFont="1" applyFill="1" applyBorder="1" applyAlignment="1" applyProtection="1">
      <alignment horizontal="center"/>
    </xf>
    <xf numFmtId="0" fontId="44" fillId="16" borderId="0" xfId="0" applyFont="1" applyFill="1" applyBorder="1" applyProtection="1"/>
    <xf numFmtId="0" fontId="44" fillId="8" borderId="41" xfId="0" applyFont="1" applyFill="1" applyBorder="1" applyAlignment="1" applyProtection="1">
      <alignment vertical="center" wrapText="1"/>
    </xf>
    <xf numFmtId="178" fontId="44" fillId="8" borderId="0" xfId="2" applyNumberFormat="1" applyFont="1" applyFill="1" applyBorder="1" applyAlignment="1" applyProtection="1">
      <alignment vertical="center" wrapText="1"/>
    </xf>
    <xf numFmtId="0" fontId="44" fillId="8" borderId="42" xfId="0" applyFont="1" applyFill="1" applyBorder="1" applyAlignment="1" applyProtection="1">
      <alignment vertical="center" wrapText="1"/>
    </xf>
    <xf numFmtId="0" fontId="44" fillId="4" borderId="33" xfId="0" applyFont="1" applyFill="1" applyBorder="1" applyAlignment="1" applyProtection="1">
      <alignment horizontal="left"/>
    </xf>
    <xf numFmtId="0" fontId="44" fillId="4" borderId="37" xfId="0" applyFont="1" applyFill="1" applyBorder="1" applyAlignment="1" applyProtection="1">
      <alignment horizontal="right"/>
    </xf>
    <xf numFmtId="0" fontId="44" fillId="8" borderId="33" xfId="0" applyFont="1" applyFill="1" applyBorder="1" applyAlignment="1" applyProtection="1">
      <alignment horizontal="right"/>
    </xf>
    <xf numFmtId="171" fontId="44" fillId="8" borderId="37" xfId="2" applyNumberFormat="1" applyFont="1" applyFill="1" applyBorder="1" applyAlignment="1" applyProtection="1"/>
    <xf numFmtId="0" fontId="44" fillId="8" borderId="37" xfId="0" applyFont="1" applyFill="1" applyBorder="1" applyAlignment="1" applyProtection="1"/>
    <xf numFmtId="0" fontId="44" fillId="8" borderId="38" xfId="0" applyFont="1" applyFill="1" applyBorder="1" applyAlignment="1" applyProtection="1"/>
    <xf numFmtId="0" fontId="44" fillId="4" borderId="33" xfId="0" applyFont="1" applyFill="1" applyBorder="1" applyAlignment="1" applyProtection="1"/>
    <xf numFmtId="171" fontId="44" fillId="4" borderId="37" xfId="2" applyNumberFormat="1" applyFont="1" applyFill="1" applyBorder="1" applyAlignment="1" applyProtection="1"/>
    <xf numFmtId="0" fontId="44" fillId="4" borderId="37" xfId="0" applyFont="1" applyFill="1" applyBorder="1" applyAlignment="1" applyProtection="1"/>
    <xf numFmtId="0" fontId="44" fillId="4" borderId="38" xfId="0" applyFont="1" applyFill="1" applyBorder="1" applyAlignment="1" applyProtection="1"/>
    <xf numFmtId="0" fontId="44" fillId="4" borderId="33" xfId="0" applyFont="1" applyFill="1" applyBorder="1" applyProtection="1"/>
    <xf numFmtId="172" fontId="48" fillId="4" borderId="37" xfId="0" applyNumberFormat="1" applyFont="1" applyFill="1" applyBorder="1" applyAlignment="1" applyProtection="1">
      <alignment vertical="center" wrapText="1"/>
    </xf>
    <xf numFmtId="0" fontId="48" fillId="4" borderId="37" xfId="0" applyFont="1" applyFill="1" applyBorder="1" applyAlignment="1" applyProtection="1">
      <alignment vertical="center" wrapText="1"/>
    </xf>
    <xf numFmtId="0" fontId="44" fillId="4" borderId="38" xfId="0" applyFont="1" applyFill="1" applyBorder="1" applyAlignment="1" applyProtection="1">
      <alignment vertical="center" wrapText="1"/>
    </xf>
    <xf numFmtId="0" fontId="44" fillId="4" borderId="41" xfId="0" applyFont="1" applyFill="1" applyBorder="1" applyAlignment="1" applyProtection="1">
      <alignment horizontal="left"/>
    </xf>
    <xf numFmtId="0" fontId="1" fillId="9" borderId="0" xfId="0" applyFont="1" applyFill="1" applyBorder="1" applyProtection="1"/>
    <xf numFmtId="174" fontId="43" fillId="15" borderId="26" xfId="2" applyNumberFormat="1" applyFont="1" applyFill="1" applyBorder="1" applyAlignment="1" applyProtection="1">
      <alignment horizontal="center"/>
    </xf>
    <xf numFmtId="0" fontId="58" fillId="13" borderId="43" xfId="0" applyFont="1" applyFill="1" applyBorder="1" applyAlignment="1" applyProtection="1">
      <alignment horizontal="left"/>
    </xf>
    <xf numFmtId="0" fontId="58" fillId="13" borderId="44" xfId="0" applyFont="1" applyFill="1" applyBorder="1" applyAlignment="1" applyProtection="1">
      <alignment horizontal="center"/>
    </xf>
    <xf numFmtId="0" fontId="44" fillId="3" borderId="33" xfId="0" applyFont="1" applyFill="1" applyBorder="1" applyAlignment="1" applyProtection="1">
      <alignment horizontal="right" vertical="center"/>
    </xf>
    <xf numFmtId="0" fontId="44" fillId="3" borderId="37" xfId="0" applyFont="1" applyFill="1" applyBorder="1" applyAlignment="1" applyProtection="1">
      <alignment horizontal="right" vertical="center"/>
    </xf>
    <xf numFmtId="0" fontId="44" fillId="10" borderId="37" xfId="0" applyFont="1" applyFill="1" applyBorder="1" applyAlignment="1" applyProtection="1">
      <alignment horizontal="right" vertical="center"/>
    </xf>
    <xf numFmtId="0" fontId="44" fillId="3" borderId="37" xfId="0" quotePrefix="1" applyFont="1" applyFill="1" applyBorder="1" applyAlignment="1" applyProtection="1">
      <alignment horizontal="right" vertical="center"/>
    </xf>
    <xf numFmtId="0" fontId="44" fillId="4" borderId="37" xfId="0" applyFont="1" applyFill="1" applyBorder="1" applyProtection="1"/>
    <xf numFmtId="0" fontId="44" fillId="4" borderId="38" xfId="0" applyFont="1" applyFill="1" applyBorder="1" applyProtection="1"/>
    <xf numFmtId="0" fontId="44" fillId="3" borderId="39" xfId="0" applyFont="1" applyFill="1" applyBorder="1" applyAlignment="1" applyProtection="1">
      <alignment horizontal="right"/>
    </xf>
    <xf numFmtId="0" fontId="44" fillId="3" borderId="32" xfId="0" applyFont="1" applyFill="1" applyBorder="1" applyAlignment="1" applyProtection="1">
      <alignment horizontal="right"/>
    </xf>
    <xf numFmtId="0" fontId="44" fillId="3" borderId="32" xfId="0" applyFont="1" applyFill="1" applyBorder="1" applyAlignment="1" applyProtection="1">
      <alignment horizontal="left"/>
    </xf>
    <xf numFmtId="0" fontId="44" fillId="3" borderId="32" xfId="0" applyFont="1" applyFill="1" applyBorder="1" applyProtection="1"/>
    <xf numFmtId="0" fontId="44" fillId="3" borderId="40" xfId="0" applyFont="1" applyFill="1" applyBorder="1" applyProtection="1"/>
    <xf numFmtId="0" fontId="6" fillId="3" borderId="33" xfId="0" applyFont="1" applyFill="1" applyBorder="1" applyAlignment="1" applyProtection="1">
      <alignment horizontal="right"/>
    </xf>
    <xf numFmtId="0" fontId="6" fillId="3" borderId="37" xfId="0" applyFont="1" applyFill="1" applyBorder="1" applyAlignment="1" applyProtection="1">
      <alignment horizontal="right"/>
    </xf>
    <xf numFmtId="0" fontId="6" fillId="3" borderId="37" xfId="0" applyFont="1" applyFill="1" applyBorder="1" applyAlignment="1" applyProtection="1">
      <alignment horizontal="left"/>
    </xf>
    <xf numFmtId="0" fontId="6" fillId="3" borderId="37" xfId="0" applyFont="1" applyFill="1" applyBorder="1" applyProtection="1"/>
    <xf numFmtId="0" fontId="6" fillId="3" borderId="38" xfId="0" applyFont="1" applyFill="1" applyBorder="1" applyAlignment="1" applyProtection="1">
      <alignment horizontal="left"/>
    </xf>
    <xf numFmtId="0" fontId="48" fillId="3" borderId="41" xfId="0" applyFont="1" applyFill="1" applyBorder="1" applyAlignment="1" applyProtection="1">
      <alignment horizontal="left" vertical="center"/>
    </xf>
    <xf numFmtId="0" fontId="6" fillId="3" borderId="42" xfId="0" applyFont="1" applyFill="1" applyBorder="1" applyAlignment="1" applyProtection="1">
      <alignment horizontal="left"/>
    </xf>
    <xf numFmtId="0" fontId="48" fillId="4" borderId="41" xfId="0" applyFont="1" applyFill="1" applyBorder="1" applyProtection="1"/>
    <xf numFmtId="0" fontId="7" fillId="4" borderId="41" xfId="0" applyFont="1" applyFill="1" applyBorder="1" applyProtection="1"/>
    <xf numFmtId="0" fontId="7" fillId="4" borderId="39" xfId="0" applyFont="1" applyFill="1" applyBorder="1" applyProtection="1"/>
    <xf numFmtId="0" fontId="0" fillId="4" borderId="32" xfId="0" applyFill="1" applyBorder="1" applyAlignment="1" applyProtection="1">
      <alignment horizontal="right"/>
    </xf>
    <xf numFmtId="0" fontId="6" fillId="3" borderId="32" xfId="0" applyFont="1" applyFill="1" applyBorder="1" applyAlignment="1" applyProtection="1">
      <alignment horizontal="left"/>
    </xf>
    <xf numFmtId="0" fontId="6" fillId="3" borderId="40" xfId="0" applyFont="1" applyFill="1" applyBorder="1" applyAlignment="1" applyProtection="1">
      <alignment horizontal="left"/>
    </xf>
    <xf numFmtId="0" fontId="39" fillId="12" borderId="36" xfId="0" applyFont="1" applyFill="1" applyBorder="1" applyAlignment="1" applyProtection="1">
      <alignment vertical="center"/>
    </xf>
    <xf numFmtId="3" fontId="0" fillId="8" borderId="33" xfId="0" applyNumberFormat="1" applyFill="1" applyBorder="1" applyProtection="1"/>
    <xf numFmtId="3" fontId="0" fillId="8" borderId="37" xfId="0" applyNumberFormat="1" applyFill="1" applyBorder="1" applyProtection="1"/>
    <xf numFmtId="0" fontId="0" fillId="8" borderId="37" xfId="0" applyFill="1" applyBorder="1" applyProtection="1"/>
    <xf numFmtId="0" fontId="0" fillId="8" borderId="38" xfId="0" applyFill="1" applyBorder="1" applyProtection="1"/>
    <xf numFmtId="0" fontId="0" fillId="8" borderId="41" xfId="0" applyFill="1" applyBorder="1" applyProtection="1"/>
    <xf numFmtId="0" fontId="0" fillId="8" borderId="42" xfId="0" applyFill="1" applyBorder="1" applyProtection="1"/>
    <xf numFmtId="3" fontId="0" fillId="8" borderId="41" xfId="0" applyNumberFormat="1" applyFill="1" applyBorder="1" applyProtection="1"/>
    <xf numFmtId="0" fontId="60" fillId="12" borderId="33" xfId="0" applyFont="1" applyFill="1" applyBorder="1" applyAlignment="1" applyProtection="1">
      <alignment vertical="center"/>
    </xf>
    <xf numFmtId="0" fontId="60" fillId="12" borderId="37" xfId="0" applyFont="1" applyFill="1" applyBorder="1" applyAlignment="1" applyProtection="1">
      <alignment vertical="center"/>
    </xf>
    <xf numFmtId="0" fontId="62" fillId="12" borderId="37" xfId="0" applyFont="1" applyFill="1" applyBorder="1" applyProtection="1"/>
    <xf numFmtId="0" fontId="62" fillId="12" borderId="38" xfId="0" applyFont="1" applyFill="1" applyBorder="1" applyProtection="1"/>
    <xf numFmtId="0" fontId="7" fillId="4" borderId="32" xfId="0" applyFont="1" applyFill="1" applyBorder="1" applyProtection="1"/>
    <xf numFmtId="0" fontId="3" fillId="4" borderId="32" xfId="0" applyFont="1" applyFill="1" applyBorder="1" applyAlignment="1" applyProtection="1">
      <alignment horizontal="right"/>
    </xf>
    <xf numFmtId="3" fontId="44" fillId="4" borderId="32" xfId="0" applyNumberFormat="1" applyFont="1" applyFill="1" applyBorder="1" applyProtection="1"/>
    <xf numFmtId="0" fontId="58" fillId="13" borderId="45" xfId="0" applyFont="1" applyFill="1" applyBorder="1" applyAlignment="1" applyProtection="1">
      <alignment horizontal="center"/>
    </xf>
    <xf numFmtId="0" fontId="44" fillId="14" borderId="46" xfId="0" applyFont="1" applyFill="1" applyBorder="1" applyAlignment="1" applyProtection="1">
      <alignment horizontal="center"/>
    </xf>
    <xf numFmtId="171" fontId="44" fillId="14" borderId="46" xfId="2" applyNumberFormat="1" applyFont="1" applyFill="1" applyBorder="1" applyAlignment="1" applyProtection="1">
      <alignment horizontal="center"/>
    </xf>
    <xf numFmtId="165" fontId="44" fillId="14" borderId="34" xfId="0" applyNumberFormat="1" applyFont="1" applyFill="1" applyBorder="1" applyAlignment="1" applyProtection="1">
      <alignment horizontal="center"/>
    </xf>
    <xf numFmtId="9" fontId="43" fillId="15" borderId="26" xfId="3" applyFont="1" applyFill="1" applyBorder="1" applyAlignment="1" applyProtection="1">
      <alignment horizontal="center"/>
    </xf>
    <xf numFmtId="17" fontId="42" fillId="9" borderId="0" xfId="0" applyNumberFormat="1" applyFont="1" applyFill="1" applyProtection="1"/>
    <xf numFmtId="0" fontId="0" fillId="17" borderId="0" xfId="0" applyFill="1" applyAlignment="1">
      <alignment horizontal="center"/>
    </xf>
    <xf numFmtId="0" fontId="1" fillId="9" borderId="0" xfId="0" applyFont="1" applyFill="1" applyProtection="1"/>
    <xf numFmtId="0" fontId="1" fillId="3" borderId="33" xfId="0" applyFont="1" applyFill="1" applyBorder="1" applyAlignment="1" applyProtection="1">
      <alignment horizontal="right" vertical="center"/>
    </xf>
    <xf numFmtId="0" fontId="1" fillId="3" borderId="37" xfId="0" applyFont="1" applyFill="1" applyBorder="1" applyAlignment="1" applyProtection="1">
      <alignment horizontal="right" vertical="center"/>
    </xf>
    <xf numFmtId="0" fontId="1" fillId="3" borderId="38" xfId="0" applyFont="1" applyFill="1" applyBorder="1" applyAlignment="1" applyProtection="1">
      <alignment horizontal="right" vertical="center"/>
    </xf>
    <xf numFmtId="179" fontId="73" fillId="4" borderId="0" xfId="0" applyNumberFormat="1" applyFont="1" applyFill="1" applyBorder="1" applyAlignment="1" applyProtection="1"/>
    <xf numFmtId="0" fontId="73" fillId="4" borderId="0" xfId="0" applyFont="1" applyFill="1" applyBorder="1" applyProtection="1"/>
    <xf numFmtId="174" fontId="73" fillId="8" borderId="0" xfId="2" applyNumberFormat="1" applyFont="1" applyFill="1" applyBorder="1" applyAlignment="1" applyProtection="1">
      <alignment vertical="center" wrapText="1"/>
    </xf>
    <xf numFmtId="4" fontId="73" fillId="8" borderId="0" xfId="2" applyNumberFormat="1" applyFont="1" applyFill="1" applyBorder="1" applyAlignment="1" applyProtection="1">
      <alignment vertical="center" wrapText="1"/>
    </xf>
    <xf numFmtId="174" fontId="73" fillId="8" borderId="51" xfId="2" applyNumberFormat="1" applyFont="1" applyFill="1" applyBorder="1" applyAlignment="1" applyProtection="1">
      <alignment vertical="center" wrapText="1"/>
    </xf>
    <xf numFmtId="4" fontId="73" fillId="8" borderId="51" xfId="2" applyNumberFormat="1" applyFont="1" applyFill="1" applyBorder="1" applyAlignment="1" applyProtection="1">
      <alignment vertical="center" wrapText="1"/>
    </xf>
    <xf numFmtId="174" fontId="74" fillId="8" borderId="0" xfId="2" applyNumberFormat="1" applyFont="1" applyFill="1" applyBorder="1" applyAlignment="1" applyProtection="1">
      <alignment vertical="center" wrapText="1"/>
    </xf>
    <xf numFmtId="4" fontId="74" fillId="8" borderId="0" xfId="2" applyNumberFormat="1" applyFont="1" applyFill="1" applyBorder="1" applyAlignment="1" applyProtection="1">
      <alignment vertical="center" wrapText="1"/>
    </xf>
    <xf numFmtId="171" fontId="73" fillId="4" borderId="0" xfId="2" applyNumberFormat="1"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51" xfId="0" applyFont="1" applyFill="1" applyBorder="1" applyAlignment="1" applyProtection="1">
      <alignment vertical="center" wrapText="1"/>
    </xf>
    <xf numFmtId="0" fontId="74" fillId="4" borderId="0" xfId="0" applyFont="1" applyFill="1" applyBorder="1" applyAlignment="1" applyProtection="1">
      <alignment vertical="center" wrapText="1"/>
    </xf>
    <xf numFmtId="171" fontId="74" fillId="4" borderId="0" xfId="2" applyNumberFormat="1" applyFont="1" applyFill="1" applyBorder="1" applyAlignment="1" applyProtection="1">
      <alignment vertical="center" wrapText="1"/>
    </xf>
    <xf numFmtId="0" fontId="73" fillId="4" borderId="0" xfId="0" applyFont="1" applyFill="1" applyBorder="1" applyAlignment="1" applyProtection="1"/>
    <xf numFmtId="0" fontId="73" fillId="4" borderId="0" xfId="0" applyFont="1" applyFill="1" applyBorder="1" applyAlignment="1" applyProtection="1">
      <alignment horizontal="left" vertical="center" wrapText="1"/>
    </xf>
    <xf numFmtId="0" fontId="48" fillId="8" borderId="0" xfId="0" applyFont="1" applyFill="1" applyBorder="1" applyAlignment="1" applyProtection="1">
      <alignment horizontal="left"/>
    </xf>
    <xf numFmtId="0" fontId="44" fillId="4" borderId="0" xfId="0" applyFont="1" applyFill="1" applyBorder="1" applyAlignment="1" applyProtection="1">
      <alignment horizontal="left" vertical="center" wrapText="1"/>
    </xf>
    <xf numFmtId="0" fontId="48" fillId="4" borderId="42" xfId="0" applyFont="1" applyFill="1" applyBorder="1" applyAlignment="1" applyProtection="1">
      <alignment horizontal="left"/>
    </xf>
    <xf numFmtId="0" fontId="0" fillId="2" borderId="52" xfId="0" applyFill="1" applyBorder="1" applyProtection="1"/>
    <xf numFmtId="0" fontId="75" fillId="9" borderId="0" xfId="0" applyFont="1" applyFill="1" applyProtection="1"/>
    <xf numFmtId="0" fontId="75" fillId="9" borderId="0" xfId="0" applyFont="1" applyFill="1" applyBorder="1" applyAlignment="1" applyProtection="1">
      <alignment horizontal="right"/>
    </xf>
    <xf numFmtId="0" fontId="44" fillId="4" borderId="32" xfId="0" applyFont="1" applyFill="1" applyBorder="1" applyAlignment="1" applyProtection="1">
      <alignment horizontal="right"/>
    </xf>
    <xf numFmtId="171" fontId="44" fillId="8" borderId="32" xfId="2" applyNumberFormat="1" applyFont="1" applyFill="1" applyBorder="1" applyProtection="1"/>
    <xf numFmtId="171" fontId="44" fillId="4" borderId="32" xfId="2" applyNumberFormat="1" applyFont="1" applyFill="1" applyBorder="1" applyProtection="1"/>
    <xf numFmtId="0" fontId="44" fillId="8" borderId="39" xfId="0" applyFont="1" applyFill="1" applyBorder="1" applyAlignment="1" applyProtection="1">
      <alignment horizontal="right"/>
    </xf>
    <xf numFmtId="0" fontId="0" fillId="18" borderId="53" xfId="0" applyFill="1" applyBorder="1" applyProtection="1"/>
    <xf numFmtId="0" fontId="44" fillId="4" borderId="0" xfId="0" quotePrefix="1" applyFont="1" applyFill="1" applyBorder="1" applyAlignment="1" applyProtection="1">
      <alignment horizontal="right"/>
    </xf>
    <xf numFmtId="172" fontId="44" fillId="11" borderId="25" xfId="2" applyNumberFormat="1" applyFont="1" applyFill="1" applyBorder="1" applyAlignment="1" applyProtection="1">
      <alignment horizontal="center"/>
      <protection locked="0"/>
    </xf>
    <xf numFmtId="172" fontId="44" fillId="11" borderId="25" xfId="2" applyNumberFormat="1" applyFont="1" applyFill="1" applyBorder="1" applyAlignment="1" applyProtection="1">
      <alignment horizontal="right"/>
      <protection locked="0"/>
    </xf>
    <xf numFmtId="0" fontId="13" fillId="9" borderId="0" xfId="0" applyFont="1" applyFill="1" applyAlignment="1" applyProtection="1">
      <alignment horizontal="center" vertical="center"/>
    </xf>
    <xf numFmtId="0" fontId="17" fillId="8" borderId="0" xfId="0" applyFont="1" applyFill="1" applyProtection="1"/>
    <xf numFmtId="0" fontId="0" fillId="4" borderId="42" xfId="0" applyFill="1" applyBorder="1" applyAlignment="1" applyProtection="1"/>
    <xf numFmtId="0" fontId="0" fillId="4" borderId="41" xfId="0" applyFill="1" applyBorder="1" applyAlignment="1" applyProtection="1"/>
    <xf numFmtId="9" fontId="44" fillId="11" borderId="25" xfId="3" applyNumberFormat="1" applyFont="1" applyFill="1" applyBorder="1" applyAlignment="1" applyProtection="1">
      <alignment horizontal="right"/>
      <protection locked="0"/>
    </xf>
    <xf numFmtId="171" fontId="44" fillId="11" borderId="25" xfId="2" applyNumberFormat="1" applyFont="1" applyFill="1" applyBorder="1" applyAlignment="1" applyProtection="1">
      <alignment horizontal="right"/>
      <protection locked="0"/>
    </xf>
    <xf numFmtId="9" fontId="44" fillId="11" borderId="25" xfId="3" applyFont="1" applyFill="1" applyBorder="1" applyAlignment="1" applyProtection="1">
      <alignment horizontal="right"/>
      <protection locked="0"/>
    </xf>
    <xf numFmtId="2" fontId="44" fillId="11" borderId="25" xfId="3" applyNumberFormat="1" applyFont="1" applyFill="1" applyBorder="1" applyAlignment="1" applyProtection="1">
      <alignment horizontal="right"/>
      <protection locked="0"/>
    </xf>
    <xf numFmtId="166" fontId="44" fillId="11" borderId="25" xfId="3" applyNumberFormat="1" applyFont="1" applyFill="1" applyBorder="1" applyAlignment="1" applyProtection="1">
      <alignment horizontal="right"/>
      <protection locked="0"/>
    </xf>
    <xf numFmtId="0" fontId="44" fillId="9" borderId="0" xfId="0" applyFont="1" applyFill="1" applyProtection="1"/>
    <xf numFmtId="0" fontId="67" fillId="9" borderId="0" xfId="0" applyFont="1" applyFill="1" applyBorder="1" applyAlignment="1" applyProtection="1">
      <alignment horizontal="left"/>
    </xf>
    <xf numFmtId="0" fontId="79" fillId="18" borderId="0" xfId="0" applyFont="1" applyFill="1" applyBorder="1" applyAlignment="1" applyProtection="1">
      <alignment horizontal="right"/>
    </xf>
    <xf numFmtId="171" fontId="73" fillId="4" borderId="0" xfId="2" applyNumberFormat="1" applyFont="1" applyFill="1" applyBorder="1" applyAlignment="1" applyProtection="1">
      <alignment horizontal="right" vertical="center" wrapText="1"/>
    </xf>
    <xf numFmtId="0" fontId="48" fillId="3" borderId="37" xfId="0" applyFont="1" applyFill="1" applyBorder="1" applyAlignment="1" applyProtection="1">
      <alignment horizontal="left" vertical="center"/>
    </xf>
    <xf numFmtId="0" fontId="6" fillId="3" borderId="41" xfId="0" applyFont="1" applyFill="1" applyBorder="1" applyAlignment="1" applyProtection="1">
      <alignment horizontal="right"/>
    </xf>
    <xf numFmtId="0" fontId="6" fillId="3" borderId="0" xfId="0" applyFont="1" applyFill="1" applyBorder="1" applyAlignment="1" applyProtection="1">
      <alignment horizontal="right"/>
    </xf>
    <xf numFmtId="0" fontId="6" fillId="3" borderId="0" xfId="0" applyFont="1" applyFill="1" applyBorder="1" applyProtection="1"/>
    <xf numFmtId="0" fontId="77" fillId="9" borderId="0" xfId="0" applyFont="1" applyFill="1" applyAlignment="1" applyProtection="1">
      <alignment horizontal="left"/>
    </xf>
    <xf numFmtId="0" fontId="48" fillId="9" borderId="0" xfId="0" applyFont="1" applyFill="1" applyBorder="1" applyProtection="1"/>
    <xf numFmtId="0" fontId="58" fillId="9" borderId="0" xfId="0" applyFont="1" applyFill="1" applyProtection="1"/>
    <xf numFmtId="0" fontId="65" fillId="9" borderId="0" xfId="1" applyFont="1" applyFill="1" applyAlignment="1" applyProtection="1">
      <alignment horizontal="left"/>
    </xf>
    <xf numFmtId="0" fontId="44" fillId="18" borderId="0" xfId="0" applyFont="1" applyFill="1" applyBorder="1" applyAlignment="1" applyProtection="1">
      <alignment horizontal="right"/>
    </xf>
    <xf numFmtId="0" fontId="44" fillId="18" borderId="0" xfId="0" applyFont="1" applyFill="1" applyBorder="1" applyProtection="1"/>
    <xf numFmtId="172" fontId="44" fillId="10" borderId="0" xfId="2" applyNumberFormat="1" applyFont="1" applyFill="1" applyBorder="1" applyAlignment="1" applyProtection="1">
      <alignment horizontal="right"/>
    </xf>
    <xf numFmtId="172" fontId="42" fillId="9" borderId="0" xfId="0" applyNumberFormat="1" applyFont="1" applyFill="1" applyBorder="1" applyProtection="1"/>
    <xf numFmtId="0" fontId="58" fillId="9" borderId="0" xfId="0" applyFont="1" applyFill="1" applyBorder="1" applyAlignment="1" applyProtection="1">
      <alignment horizontal="center"/>
    </xf>
    <xf numFmtId="1" fontId="44" fillId="9" borderId="0" xfId="0" applyNumberFormat="1" applyFont="1" applyFill="1" applyBorder="1" applyAlignment="1" applyProtection="1">
      <alignment horizontal="center"/>
    </xf>
    <xf numFmtId="1" fontId="0" fillId="9" borderId="0" xfId="0" applyNumberFormat="1" applyFill="1" applyBorder="1" applyAlignment="1" applyProtection="1">
      <alignment horizontal="center"/>
    </xf>
    <xf numFmtId="0" fontId="48" fillId="9" borderId="0" xfId="0" applyNumberFormat="1" applyFont="1" applyFill="1" applyBorder="1" applyAlignment="1" applyProtection="1">
      <alignment horizontal="center"/>
    </xf>
    <xf numFmtId="0" fontId="44" fillId="9" borderId="0" xfId="0" applyFont="1" applyFill="1" applyBorder="1" applyAlignment="1" applyProtection="1">
      <alignment horizontal="center"/>
    </xf>
    <xf numFmtId="0" fontId="44" fillId="9" borderId="0" xfId="0" applyNumberFormat="1"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64" fillId="9" borderId="0" xfId="0" applyFont="1" applyFill="1" applyBorder="1" applyAlignment="1" applyProtection="1">
      <alignment horizontal="center"/>
    </xf>
    <xf numFmtId="0" fontId="0" fillId="9" borderId="0" xfId="0" applyNumberFormat="1" applyFill="1" applyBorder="1" applyAlignment="1" applyProtection="1">
      <alignment horizontal="center"/>
    </xf>
    <xf numFmtId="2" fontId="0" fillId="9" borderId="0" xfId="0" applyNumberFormat="1" applyFill="1" applyBorder="1" applyAlignment="1" applyProtection="1">
      <alignment horizontal="center"/>
    </xf>
    <xf numFmtId="0" fontId="31" fillId="9" borderId="0" xfId="0" applyFont="1" applyFill="1" applyProtection="1"/>
    <xf numFmtId="0" fontId="63" fillId="9" borderId="0" xfId="0" applyFont="1" applyFill="1" applyBorder="1" applyAlignment="1" applyProtection="1">
      <alignment horizontal="right"/>
    </xf>
    <xf numFmtId="0" fontId="0" fillId="9" borderId="0" xfId="0" applyFill="1" applyBorder="1" applyAlignment="1" applyProtection="1">
      <alignment horizontal="center"/>
    </xf>
    <xf numFmtId="0" fontId="70" fillId="9" borderId="26" xfId="0" applyFont="1" applyFill="1" applyBorder="1" applyAlignment="1" applyProtection="1">
      <alignment horizontal="center"/>
    </xf>
    <xf numFmtId="172" fontId="44" fillId="9" borderId="0" xfId="2" applyNumberFormat="1" applyFont="1" applyFill="1" applyBorder="1" applyProtection="1"/>
    <xf numFmtId="172" fontId="44" fillId="9" borderId="0" xfId="2" applyNumberFormat="1" applyFont="1" applyFill="1" applyProtection="1"/>
    <xf numFmtId="0" fontId="1" fillId="16" borderId="33" xfId="0" applyFont="1" applyFill="1" applyBorder="1" applyAlignment="1" applyProtection="1">
      <alignment horizontal="right" vertical="center"/>
    </xf>
    <xf numFmtId="0" fontId="1" fillId="16" borderId="37" xfId="0" applyFont="1" applyFill="1" applyBorder="1" applyAlignment="1" applyProtection="1">
      <alignment horizontal="right" vertical="center"/>
    </xf>
    <xf numFmtId="3" fontId="3" fillId="8" borderId="37" xfId="0" applyNumberFormat="1" applyFont="1" applyFill="1" applyBorder="1" applyAlignment="1" applyProtection="1">
      <alignment horizontal="left"/>
    </xf>
    <xf numFmtId="3" fontId="3" fillId="8" borderId="38" xfId="0" applyNumberFormat="1" applyFont="1" applyFill="1" applyBorder="1" applyAlignment="1" applyProtection="1">
      <alignment horizontal="left"/>
    </xf>
    <xf numFmtId="171" fontId="44" fillId="8" borderId="37" xfId="2" applyNumberFormat="1" applyFont="1" applyFill="1" applyBorder="1" applyProtection="1"/>
    <xf numFmtId="0" fontId="44" fillId="8" borderId="37" xfId="0" applyFont="1" applyFill="1" applyBorder="1" applyProtection="1"/>
    <xf numFmtId="0" fontId="44" fillId="8" borderId="38" xfId="0" applyFont="1" applyFill="1" applyBorder="1" applyProtection="1"/>
    <xf numFmtId="171" fontId="44" fillId="4" borderId="37" xfId="2" applyNumberFormat="1" applyFont="1" applyFill="1" applyBorder="1" applyProtection="1"/>
    <xf numFmtId="0" fontId="81" fillId="4" borderId="0" xfId="0" applyFont="1" applyFill="1" applyBorder="1" applyAlignment="1" applyProtection="1">
      <alignment vertical="center" wrapText="1"/>
    </xf>
    <xf numFmtId="0" fontId="56" fillId="9" borderId="0" xfId="1" applyFont="1" applyFill="1" applyBorder="1" applyAlignment="1" applyProtection="1">
      <protection locked="0"/>
    </xf>
    <xf numFmtId="0" fontId="48" fillId="14" borderId="26" xfId="0" applyFont="1" applyFill="1" applyBorder="1" applyAlignment="1" applyProtection="1">
      <alignment horizontal="center"/>
    </xf>
    <xf numFmtId="0" fontId="58" fillId="13" borderId="56" xfId="0" applyFont="1" applyFill="1" applyBorder="1" applyAlignment="1" applyProtection="1">
      <alignment horizontal="left"/>
    </xf>
    <xf numFmtId="0" fontId="44" fillId="16" borderId="55" xfId="2" applyNumberFormat="1" applyFont="1" applyFill="1" applyBorder="1" applyAlignment="1" applyProtection="1">
      <alignment horizontal="center"/>
    </xf>
    <xf numFmtId="172" fontId="85" fillId="8" borderId="0" xfId="2" applyNumberFormat="1" applyFont="1" applyFill="1" applyBorder="1" applyAlignment="1" applyProtection="1">
      <alignment horizontal="right"/>
    </xf>
    <xf numFmtId="171" fontId="74" fillId="4" borderId="60" xfId="2" applyNumberFormat="1" applyFont="1" applyFill="1" applyBorder="1" applyAlignment="1" applyProtection="1">
      <alignment horizontal="right"/>
    </xf>
    <xf numFmtId="0" fontId="74" fillId="4" borderId="60" xfId="0" applyFont="1" applyFill="1" applyBorder="1" applyAlignment="1" applyProtection="1">
      <alignment vertical="center" wrapText="1"/>
    </xf>
    <xf numFmtId="164" fontId="44" fillId="8" borderId="0" xfId="2" applyFont="1" applyFill="1" applyBorder="1" applyProtection="1"/>
    <xf numFmtId="171" fontId="44" fillId="8" borderId="0" xfId="2" applyNumberFormat="1" applyFont="1" applyFill="1" applyBorder="1" applyAlignment="1" applyProtection="1">
      <alignment horizontal="right"/>
    </xf>
    <xf numFmtId="165" fontId="44" fillId="4" borderId="0" xfId="0" applyNumberFormat="1" applyFont="1" applyFill="1" applyBorder="1" applyProtection="1"/>
    <xf numFmtId="172" fontId="44" fillId="8" borderId="0" xfId="0" applyNumberFormat="1" applyFont="1" applyFill="1" applyBorder="1" applyProtection="1"/>
    <xf numFmtId="171" fontId="44" fillId="8" borderId="0" xfId="2" applyNumberFormat="1" applyFont="1" applyFill="1" applyBorder="1" applyAlignment="1" applyProtection="1"/>
    <xf numFmtId="172" fontId="48" fillId="4" borderId="0" xfId="0" applyNumberFormat="1" applyFont="1" applyFill="1" applyBorder="1" applyAlignment="1" applyProtection="1">
      <alignment vertical="center" wrapText="1"/>
    </xf>
    <xf numFmtId="0" fontId="41" fillId="9" borderId="32" xfId="0" applyFont="1" applyFill="1" applyBorder="1" applyProtection="1"/>
    <xf numFmtId="172" fontId="85" fillId="8" borderId="0" xfId="2" applyNumberFormat="1" applyFont="1" applyFill="1" applyBorder="1" applyAlignment="1" applyProtection="1">
      <alignment horizontal="right" vertical="top"/>
    </xf>
    <xf numFmtId="164" fontId="0" fillId="0" borderId="0" xfId="2" applyFont="1" applyAlignment="1">
      <alignment horizontal="center"/>
    </xf>
    <xf numFmtId="1" fontId="44" fillId="11" borderId="61" xfId="3" applyNumberFormat="1" applyFont="1" applyFill="1" applyBorder="1" applyAlignment="1" applyProtection="1">
      <alignment horizontal="center"/>
      <protection locked="0"/>
    </xf>
    <xf numFmtId="1" fontId="44" fillId="11" borderId="62" xfId="3" applyNumberFormat="1" applyFont="1" applyFill="1" applyBorder="1" applyAlignment="1" applyProtection="1">
      <alignment horizontal="center"/>
      <protection locked="0"/>
    </xf>
    <xf numFmtId="1" fontId="44" fillId="11" borderId="63" xfId="3" applyNumberFormat="1" applyFont="1" applyFill="1" applyBorder="1" applyAlignment="1" applyProtection="1">
      <alignment horizontal="center"/>
      <protection locked="0"/>
    </xf>
    <xf numFmtId="1" fontId="44" fillId="11" borderId="64" xfId="3" applyNumberFormat="1" applyFont="1" applyFill="1" applyBorder="1" applyAlignment="1" applyProtection="1">
      <alignment horizontal="center"/>
      <protection locked="0"/>
    </xf>
    <xf numFmtId="1" fontId="44" fillId="11" borderId="65" xfId="3" applyNumberFormat="1" applyFont="1" applyFill="1" applyBorder="1" applyAlignment="1" applyProtection="1">
      <alignment horizontal="center"/>
      <protection locked="0"/>
    </xf>
    <xf numFmtId="1" fontId="44" fillId="11" borderId="66" xfId="3" applyNumberFormat="1" applyFont="1" applyFill="1" applyBorder="1" applyAlignment="1" applyProtection="1">
      <alignment horizontal="center"/>
      <protection locked="0"/>
    </xf>
    <xf numFmtId="165" fontId="44" fillId="11" borderId="61" xfId="3" applyNumberFormat="1" applyFont="1" applyFill="1" applyBorder="1" applyAlignment="1" applyProtection="1">
      <alignment horizontal="center"/>
      <protection locked="0"/>
    </xf>
    <xf numFmtId="1" fontId="44" fillId="11" borderId="67" xfId="3" applyNumberFormat="1" applyFont="1" applyFill="1" applyBorder="1" applyAlignment="1" applyProtection="1">
      <alignment horizontal="center"/>
      <protection locked="0"/>
    </xf>
    <xf numFmtId="171" fontId="44" fillId="11" borderId="62" xfId="2" applyNumberFormat="1" applyFont="1" applyFill="1" applyBorder="1" applyAlignment="1" applyProtection="1">
      <alignment horizontal="center"/>
      <protection locked="0"/>
    </xf>
    <xf numFmtId="165" fontId="44" fillId="11" borderId="63" xfId="3" applyNumberFormat="1" applyFont="1" applyFill="1" applyBorder="1" applyAlignment="1" applyProtection="1">
      <alignment horizontal="center"/>
      <protection locked="0"/>
    </xf>
    <xf numFmtId="1" fontId="44" fillId="11" borderId="68" xfId="3" applyNumberFormat="1" applyFont="1" applyFill="1" applyBorder="1" applyAlignment="1" applyProtection="1">
      <alignment horizontal="center"/>
      <protection locked="0"/>
    </xf>
    <xf numFmtId="171" fontId="44" fillId="11" borderId="64" xfId="2" applyNumberFormat="1" applyFont="1" applyFill="1" applyBorder="1" applyAlignment="1" applyProtection="1">
      <alignment horizontal="center"/>
      <protection locked="0"/>
    </xf>
    <xf numFmtId="165" fontId="44" fillId="11" borderId="65" xfId="3" applyNumberFormat="1" applyFont="1" applyFill="1" applyBorder="1" applyAlignment="1" applyProtection="1">
      <alignment horizontal="center"/>
      <protection locked="0"/>
    </xf>
    <xf numFmtId="1" fontId="44" fillId="11" borderId="69" xfId="3" applyNumberFormat="1" applyFont="1" applyFill="1" applyBorder="1" applyAlignment="1" applyProtection="1">
      <alignment horizontal="center"/>
      <protection locked="0"/>
    </xf>
    <xf numFmtId="171" fontId="44" fillId="11" borderId="66" xfId="2" applyNumberFormat="1" applyFont="1" applyFill="1" applyBorder="1" applyAlignment="1" applyProtection="1">
      <alignment horizontal="center"/>
      <protection locked="0"/>
    </xf>
    <xf numFmtId="166" fontId="44" fillId="11" borderId="61" xfId="3" applyNumberFormat="1" applyFont="1" applyFill="1" applyBorder="1" applyAlignment="1" applyProtection="1">
      <alignment horizontal="center"/>
      <protection locked="0"/>
    </xf>
    <xf numFmtId="166" fontId="44" fillId="11" borderId="62" xfId="3" applyNumberFormat="1" applyFont="1" applyFill="1" applyBorder="1" applyAlignment="1" applyProtection="1">
      <alignment horizontal="center"/>
      <protection locked="0"/>
    </xf>
    <xf numFmtId="172" fontId="42" fillId="9" borderId="0" xfId="0" applyNumberFormat="1" applyFont="1" applyFill="1" applyProtection="1"/>
    <xf numFmtId="172" fontId="42" fillId="2" borderId="0" xfId="0" applyNumberFormat="1" applyFont="1" applyFill="1" applyProtection="1"/>
    <xf numFmtId="0" fontId="42" fillId="9" borderId="0" xfId="0" applyFont="1" applyFill="1" applyBorder="1" applyAlignment="1" applyProtection="1"/>
    <xf numFmtId="0" fontId="42" fillId="9" borderId="0" xfId="0" applyFont="1" applyFill="1" applyAlignment="1" applyProtection="1">
      <alignment horizontal="right"/>
    </xf>
    <xf numFmtId="171" fontId="42" fillId="9" borderId="0" xfId="0" applyNumberFormat="1" applyFont="1" applyFill="1" applyAlignment="1" applyProtection="1">
      <alignment horizontal="right"/>
    </xf>
    <xf numFmtId="9" fontId="42" fillId="9" borderId="0" xfId="3" applyNumberFormat="1" applyFont="1" applyFill="1" applyAlignment="1" applyProtection="1">
      <alignment horizontal="right"/>
    </xf>
    <xf numFmtId="9" fontId="42" fillId="9" borderId="0" xfId="0" applyNumberFormat="1" applyFont="1" applyFill="1" applyAlignment="1" applyProtection="1">
      <alignment horizontal="right"/>
    </xf>
    <xf numFmtId="5" fontId="42" fillId="9" borderId="0" xfId="0" applyNumberFormat="1" applyFont="1" applyFill="1" applyAlignment="1" applyProtection="1">
      <alignment horizontal="right"/>
    </xf>
    <xf numFmtId="5" fontId="42" fillId="9" borderId="0" xfId="0" applyNumberFormat="1" applyFont="1" applyFill="1" applyProtection="1"/>
    <xf numFmtId="7" fontId="42" fillId="9" borderId="0" xfId="0" applyNumberFormat="1" applyFont="1" applyFill="1" applyProtection="1"/>
    <xf numFmtId="7" fontId="42" fillId="9" borderId="0" xfId="0" applyNumberFormat="1" applyFont="1" applyFill="1" applyAlignment="1" applyProtection="1">
      <alignment horizontal="right"/>
    </xf>
    <xf numFmtId="166" fontId="42" fillId="9" borderId="0" xfId="0" applyNumberFormat="1" applyFont="1" applyFill="1" applyAlignment="1" applyProtection="1">
      <alignment horizontal="right"/>
    </xf>
    <xf numFmtId="9" fontId="42" fillId="9" borderId="0" xfId="3" applyFont="1" applyFill="1" applyProtection="1"/>
    <xf numFmtId="168" fontId="42" fillId="9" borderId="0" xfId="0" applyNumberFormat="1" applyFont="1" applyFill="1" applyBorder="1" applyProtection="1"/>
    <xf numFmtId="0" fontId="46" fillId="9" borderId="0" xfId="0" applyFont="1" applyFill="1" applyBorder="1" applyProtection="1"/>
    <xf numFmtId="4" fontId="42" fillId="9" borderId="0" xfId="0" applyNumberFormat="1" applyFont="1" applyFill="1" applyBorder="1" applyProtection="1"/>
    <xf numFmtId="4" fontId="46" fillId="9" borderId="0" xfId="0" applyNumberFormat="1" applyFont="1" applyFill="1" applyBorder="1" applyProtection="1"/>
    <xf numFmtId="0" fontId="42" fillId="9" borderId="0" xfId="0" applyFont="1" applyFill="1" applyAlignment="1" applyProtection="1">
      <alignment horizontal="center"/>
    </xf>
    <xf numFmtId="0" fontId="30" fillId="9" borderId="0" xfId="1" applyFont="1" applyFill="1" applyAlignment="1" applyProtection="1">
      <alignment horizontal="center" vertical="center"/>
    </xf>
    <xf numFmtId="0" fontId="58" fillId="13" borderId="26" xfId="0" applyFont="1" applyFill="1" applyBorder="1" applyAlignment="1" applyProtection="1">
      <alignment horizontal="center"/>
    </xf>
    <xf numFmtId="172" fontId="44" fillId="11" borderId="70" xfId="2" applyNumberFormat="1" applyFont="1" applyFill="1" applyBorder="1" applyAlignment="1" applyProtection="1">
      <alignment horizontal="right"/>
      <protection locked="0"/>
    </xf>
    <xf numFmtId="0" fontId="44" fillId="8" borderId="0" xfId="0" applyFont="1" applyFill="1" applyBorder="1" applyAlignment="1" applyProtection="1">
      <alignment horizontal="right"/>
    </xf>
    <xf numFmtId="0" fontId="81" fillId="4" borderId="0" xfId="0" applyFont="1" applyFill="1" applyBorder="1" applyAlignment="1" applyProtection="1">
      <alignment horizontal="right"/>
    </xf>
    <xf numFmtId="0" fontId="1" fillId="11" borderId="41" xfId="0" applyFont="1" applyFill="1" applyBorder="1" applyAlignment="1" applyProtection="1">
      <alignment horizontal="right" vertical="center"/>
    </xf>
    <xf numFmtId="0" fontId="87" fillId="9" borderId="0" xfId="0" applyFont="1" applyFill="1" applyProtection="1"/>
    <xf numFmtId="0" fontId="88" fillId="9" borderId="0" xfId="0" applyFont="1" applyFill="1" applyProtection="1"/>
    <xf numFmtId="0" fontId="17" fillId="11" borderId="0" xfId="0" applyFont="1" applyFill="1" applyBorder="1" applyAlignment="1" applyProtection="1">
      <alignment vertical="top" wrapText="1"/>
    </xf>
    <xf numFmtId="0" fontId="86" fillId="9" borderId="0" xfId="0" applyFont="1" applyFill="1" applyProtection="1"/>
    <xf numFmtId="0" fontId="42" fillId="9" borderId="0" xfId="1" applyFont="1" applyFill="1" applyAlignment="1" applyProtection="1"/>
    <xf numFmtId="0" fontId="44" fillId="3" borderId="42" xfId="0" applyFont="1" applyFill="1" applyBorder="1" applyAlignment="1" applyProtection="1">
      <alignment horizontal="right" vertical="top"/>
    </xf>
    <xf numFmtId="0" fontId="75" fillId="9" borderId="0" xfId="0" applyFont="1" applyFill="1" applyAlignment="1" applyProtection="1">
      <alignment horizontal="right"/>
    </xf>
    <xf numFmtId="171" fontId="57" fillId="4" borderId="0" xfId="0" applyNumberFormat="1" applyFont="1" applyFill="1" applyBorder="1" applyAlignment="1" applyProtection="1">
      <alignment horizontal="right"/>
    </xf>
    <xf numFmtId="171" fontId="44" fillId="16" borderId="0" xfId="2" applyNumberFormat="1" applyFont="1" applyFill="1" applyBorder="1" applyAlignment="1" applyProtection="1">
      <alignment horizontal="right"/>
    </xf>
    <xf numFmtId="164" fontId="44" fillId="16" borderId="0" xfId="2" applyNumberFormat="1" applyFont="1" applyFill="1" applyBorder="1" applyAlignment="1" applyProtection="1">
      <alignment horizontal="right"/>
    </xf>
    <xf numFmtId="0" fontId="1" fillId="9" borderId="0" xfId="0" applyFont="1" applyFill="1" applyBorder="1" applyAlignment="1" applyProtection="1"/>
    <xf numFmtId="0" fontId="43" fillId="9" borderId="0" xfId="0" applyFont="1" applyFill="1" applyAlignment="1" applyProtection="1">
      <alignment vertical="center"/>
    </xf>
    <xf numFmtId="0" fontId="43" fillId="9" borderId="32" xfId="0" applyFont="1" applyFill="1" applyBorder="1" applyAlignment="1" applyProtection="1">
      <alignment vertical="center"/>
    </xf>
    <xf numFmtId="0" fontId="4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41" fillId="0" borderId="8" xfId="0" applyNumberFormat="1" applyFont="1" applyBorder="1" applyAlignment="1" applyProtection="1">
      <alignment horizontal="center" vertical="center" wrapText="1"/>
    </xf>
    <xf numFmtId="0" fontId="41" fillId="0" borderId="0" xfId="0" applyNumberFormat="1" applyFont="1" applyAlignment="1" applyProtection="1">
      <alignment horizontal="center" vertical="center" wrapText="1"/>
    </xf>
    <xf numFmtId="0" fontId="44" fillId="11" borderId="54" xfId="2" applyNumberFormat="1" applyFont="1" applyFill="1" applyBorder="1" applyAlignment="1" applyProtection="1">
      <alignment horizontal="center"/>
      <protection locked="0"/>
    </xf>
    <xf numFmtId="0" fontId="81" fillId="4" borderId="41" xfId="0" applyFont="1" applyFill="1" applyBorder="1" applyAlignment="1" applyProtection="1">
      <alignment horizontal="center"/>
    </xf>
    <xf numFmtId="0" fontId="85" fillId="4" borderId="0" xfId="0" applyFont="1" applyFill="1" applyBorder="1" applyAlignment="1" applyProtection="1">
      <alignment horizontal="right"/>
    </xf>
    <xf numFmtId="0" fontId="41" fillId="9" borderId="0" xfId="0" applyFont="1" applyFill="1" applyAlignment="1" applyProtection="1">
      <alignment horizontal="right"/>
    </xf>
    <xf numFmtId="171" fontId="41" fillId="9" borderId="0" xfId="0" applyNumberFormat="1" applyFont="1" applyFill="1" applyAlignment="1" applyProtection="1">
      <alignment horizontal="right"/>
    </xf>
    <xf numFmtId="171" fontId="44" fillId="19" borderId="0" xfId="2" applyNumberFormat="1" applyFont="1" applyFill="1" applyBorder="1" applyAlignment="1" applyProtection="1">
      <alignment horizontal="center"/>
    </xf>
    <xf numFmtId="4" fontId="44" fillId="19" borderId="0" xfId="0" applyNumberFormat="1" applyFont="1" applyFill="1" applyBorder="1" applyAlignment="1" applyProtection="1">
      <alignment horizontal="center"/>
    </xf>
    <xf numFmtId="2" fontId="41" fillId="0" borderId="0" xfId="0" applyNumberFormat="1" applyFont="1" applyFill="1" applyBorder="1" applyAlignment="1" applyProtection="1">
      <alignment horizontal="center"/>
    </xf>
    <xf numFmtId="0" fontId="53" fillId="4" borderId="41" xfId="0" applyFont="1" applyFill="1" applyBorder="1" applyAlignment="1" applyProtection="1">
      <alignment horizontal="left"/>
    </xf>
    <xf numFmtId="0" fontId="58" fillId="13" borderId="26" xfId="0" applyFont="1" applyFill="1" applyBorder="1" applyAlignment="1" applyProtection="1">
      <alignment horizontal="center"/>
    </xf>
    <xf numFmtId="0" fontId="0" fillId="18" borderId="53" xfId="0" applyFill="1" applyBorder="1" applyAlignment="1"/>
    <xf numFmtId="0" fontId="0" fillId="18" borderId="47" xfId="0" applyFill="1" applyBorder="1" applyAlignment="1">
      <alignment horizontal="left"/>
    </xf>
    <xf numFmtId="1" fontId="44" fillId="11" borderId="71" xfId="3" applyNumberFormat="1" applyFont="1" applyFill="1" applyBorder="1" applyAlignment="1" applyProtection="1">
      <alignment horizontal="center"/>
      <protection locked="0"/>
    </xf>
    <xf numFmtId="1" fontId="44" fillId="11" borderId="72" xfId="3" applyNumberFormat="1" applyFont="1" applyFill="1" applyBorder="1" applyAlignment="1" applyProtection="1">
      <alignment horizontal="center"/>
      <protection locked="0"/>
    </xf>
    <xf numFmtId="1" fontId="44" fillId="11" borderId="73" xfId="3" applyNumberFormat="1" applyFont="1" applyFill="1" applyBorder="1" applyAlignment="1" applyProtection="1">
      <alignment horizontal="center"/>
      <protection locked="0"/>
    </xf>
    <xf numFmtId="0" fontId="3" fillId="9" borderId="0" xfId="0" applyFont="1" applyFill="1" applyBorder="1" applyProtection="1"/>
    <xf numFmtId="0" fontId="1" fillId="9" borderId="8" xfId="0" applyFont="1" applyFill="1" applyBorder="1" applyAlignment="1">
      <alignment horizontal="center" vertical="center" wrapText="1"/>
    </xf>
    <xf numFmtId="0" fontId="3" fillId="9" borderId="8" xfId="0" applyFont="1" applyFill="1" applyBorder="1" applyAlignment="1">
      <alignment horizontal="center" vertical="center" wrapText="1"/>
    </xf>
    <xf numFmtId="0" fontId="1" fillId="9" borderId="8" xfId="0" applyNumberFormat="1" applyFont="1" applyFill="1" applyBorder="1" applyAlignment="1">
      <alignment horizontal="center" vertical="center" wrapText="1"/>
    </xf>
    <xf numFmtId="0" fontId="41" fillId="9" borderId="0" xfId="0" applyNumberFormat="1" applyFont="1" applyFill="1" applyAlignment="1" applyProtection="1">
      <alignment horizontal="center" vertical="center" wrapText="1"/>
    </xf>
    <xf numFmtId="3" fontId="42" fillId="9" borderId="0" xfId="0" applyNumberFormat="1" applyFont="1" applyFill="1" applyProtection="1"/>
    <xf numFmtId="9" fontId="0" fillId="2" borderId="0" xfId="0" applyNumberFormat="1" applyFill="1" applyProtection="1"/>
    <xf numFmtId="0" fontId="75" fillId="9" borderId="0" xfId="0" applyFont="1" applyFill="1" applyAlignment="1" applyProtection="1">
      <alignment vertical="top"/>
    </xf>
    <xf numFmtId="0" fontId="44" fillId="14" borderId="45" xfId="0" applyFont="1" applyFill="1" applyBorder="1" applyAlignment="1" applyProtection="1">
      <alignment horizontal="center"/>
    </xf>
    <xf numFmtId="0" fontId="44" fillId="15" borderId="45" xfId="0" applyFont="1" applyFill="1" applyBorder="1" applyAlignment="1" applyProtection="1">
      <alignment horizontal="center"/>
    </xf>
    <xf numFmtId="171" fontId="44" fillId="14" borderId="45" xfId="2" applyNumberFormat="1" applyFont="1" applyFill="1" applyBorder="1" applyAlignment="1" applyProtection="1">
      <alignment horizontal="center"/>
    </xf>
    <xf numFmtId="4" fontId="44" fillId="14" borderId="45" xfId="0" applyNumberFormat="1" applyFont="1" applyFill="1" applyBorder="1" applyAlignment="1" applyProtection="1">
      <alignment horizontal="center"/>
    </xf>
    <xf numFmtId="0" fontId="53" fillId="9" borderId="0" xfId="0" applyFont="1" applyFill="1" applyProtection="1"/>
    <xf numFmtId="0" fontId="53" fillId="9" borderId="0" xfId="0" applyFont="1" applyFill="1" applyBorder="1" applyAlignment="1" applyProtection="1">
      <alignment horizontal="center"/>
    </xf>
    <xf numFmtId="0" fontId="89" fillId="0" borderId="0" xfId="0" applyFont="1" applyFill="1" applyProtection="1"/>
    <xf numFmtId="0" fontId="89" fillId="0" borderId="0" xfId="0" applyFont="1" applyFill="1" applyBorder="1" applyProtection="1"/>
    <xf numFmtId="171" fontId="53" fillId="9" borderId="0" xfId="2" applyNumberFormat="1" applyFont="1" applyFill="1" applyBorder="1" applyAlignment="1" applyProtection="1">
      <alignment horizontal="center"/>
    </xf>
    <xf numFmtId="0" fontId="90" fillId="0" borderId="0" xfId="0" applyFont="1" applyProtection="1"/>
    <xf numFmtId="4" fontId="53" fillId="9" borderId="0" xfId="0" applyNumberFormat="1" applyFont="1" applyFill="1" applyBorder="1" applyAlignment="1" applyProtection="1">
      <alignment horizontal="center"/>
    </xf>
    <xf numFmtId="0" fontId="89" fillId="0" borderId="0" xfId="0" applyFont="1" applyFill="1" applyBorder="1" applyAlignment="1" applyProtection="1">
      <alignment horizontal="center"/>
    </xf>
    <xf numFmtId="0" fontId="53" fillId="0" borderId="0" xfId="0" applyFont="1" applyFill="1" applyBorder="1" applyAlignment="1" applyProtection="1">
      <alignment horizontal="center"/>
    </xf>
    <xf numFmtId="1" fontId="89" fillId="0" borderId="0" xfId="0" applyNumberFormat="1" applyFont="1" applyFill="1" applyBorder="1" applyAlignment="1" applyProtection="1">
      <alignment horizontal="center"/>
    </xf>
    <xf numFmtId="0" fontId="89" fillId="0" borderId="0" xfId="0" applyNumberFormat="1" applyFont="1" applyFill="1" applyBorder="1" applyProtection="1"/>
    <xf numFmtId="0" fontId="53" fillId="0" borderId="0" xfId="0" applyFont="1" applyFill="1" applyBorder="1" applyProtection="1"/>
    <xf numFmtId="0" fontId="89" fillId="9" borderId="0" xfId="0" applyFont="1" applyFill="1" applyProtection="1"/>
    <xf numFmtId="3" fontId="89" fillId="9" borderId="0" xfId="0" applyNumberFormat="1" applyFont="1" applyFill="1" applyProtection="1"/>
    <xf numFmtId="0" fontId="89" fillId="9" borderId="0" xfId="0" applyFont="1" applyFill="1" applyBorder="1" applyProtection="1"/>
    <xf numFmtId="16" fontId="89" fillId="9" borderId="0" xfId="0" applyNumberFormat="1" applyFont="1" applyFill="1" applyProtection="1"/>
    <xf numFmtId="0" fontId="91" fillId="9" borderId="0" xfId="0" applyFont="1" applyFill="1" applyBorder="1" applyProtection="1"/>
    <xf numFmtId="0" fontId="91" fillId="9" borderId="0" xfId="0" applyFont="1" applyFill="1" applyProtection="1"/>
    <xf numFmtId="3" fontId="91" fillId="9" borderId="0" xfId="0" applyNumberFormat="1" applyFont="1" applyFill="1" applyProtection="1"/>
    <xf numFmtId="0" fontId="91" fillId="9" borderId="0" xfId="0" applyFont="1" applyFill="1" applyBorder="1" applyAlignment="1" applyProtection="1">
      <alignment horizontal="center"/>
    </xf>
    <xf numFmtId="167" fontId="91" fillId="9" borderId="0" xfId="0" applyNumberFormat="1" applyFont="1" applyFill="1" applyBorder="1" applyProtection="1"/>
    <xf numFmtId="168" fontId="91" fillId="9" borderId="0" xfId="0" applyNumberFormat="1" applyFont="1" applyFill="1" applyBorder="1" applyProtection="1"/>
    <xf numFmtId="3" fontId="91" fillId="9" borderId="0" xfId="0" applyNumberFormat="1" applyFont="1" applyFill="1" applyBorder="1" applyProtection="1"/>
    <xf numFmtId="10" fontId="91" fillId="9" borderId="0" xfId="3" applyNumberFormat="1" applyFont="1" applyFill="1" applyBorder="1" applyProtection="1"/>
    <xf numFmtId="3" fontId="91" fillId="9" borderId="0" xfId="0" applyNumberFormat="1" applyFont="1" applyFill="1" applyBorder="1" applyAlignment="1" applyProtection="1">
      <alignment horizontal="right"/>
    </xf>
    <xf numFmtId="0" fontId="92" fillId="9" borderId="0" xfId="0" applyFont="1" applyFill="1" applyBorder="1" applyProtection="1"/>
    <xf numFmtId="170" fontId="92" fillId="9" borderId="0" xfId="0" applyNumberFormat="1" applyFont="1" applyFill="1" applyBorder="1" applyProtection="1"/>
    <xf numFmtId="0" fontId="91" fillId="9" borderId="0" xfId="0" applyFont="1" applyFill="1" applyBorder="1" applyAlignment="1" applyProtection="1"/>
    <xf numFmtId="0" fontId="91" fillId="9" borderId="0" xfId="0" applyFont="1" applyFill="1" applyBorder="1" applyAlignment="1" applyProtection="1">
      <alignment horizontal="right"/>
    </xf>
    <xf numFmtId="2" fontId="91" fillId="9" borderId="0" xfId="0" applyNumberFormat="1" applyFont="1" applyFill="1" applyBorder="1" applyProtection="1"/>
    <xf numFmtId="167" fontId="92" fillId="9" borderId="0" xfId="0" applyNumberFormat="1" applyFont="1" applyFill="1" applyBorder="1" applyProtection="1"/>
    <xf numFmtId="3" fontId="92" fillId="9" borderId="0" xfId="0" applyNumberFormat="1" applyFont="1" applyFill="1" applyBorder="1" applyProtection="1"/>
    <xf numFmtId="2" fontId="92" fillId="9" borderId="0" xfId="0" applyNumberFormat="1" applyFont="1" applyFill="1" applyBorder="1" applyProtection="1"/>
    <xf numFmtId="1" fontId="92" fillId="9" borderId="0" xfId="0" applyNumberFormat="1" applyFont="1" applyFill="1" applyBorder="1" applyProtection="1"/>
    <xf numFmtId="4" fontId="91" fillId="9" borderId="0" xfId="0" applyNumberFormat="1" applyFont="1" applyFill="1" applyBorder="1" applyProtection="1"/>
    <xf numFmtId="174" fontId="91" fillId="9" borderId="0" xfId="0" applyNumberFormat="1" applyFont="1" applyFill="1" applyBorder="1" applyProtection="1"/>
    <xf numFmtId="0" fontId="42" fillId="9" borderId="0" xfId="0" applyFont="1" applyFill="1" applyBorder="1" applyAlignment="1" applyProtection="1">
      <alignment horizontal="left"/>
    </xf>
    <xf numFmtId="0" fontId="42" fillId="9" borderId="0" xfId="0" applyFont="1" applyFill="1" applyAlignment="1" applyProtection="1">
      <alignment horizontal="left"/>
    </xf>
    <xf numFmtId="3" fontId="42" fillId="9" borderId="0" xfId="0" applyNumberFormat="1" applyFont="1" applyFill="1" applyAlignment="1" applyProtection="1">
      <alignment horizontal="left"/>
    </xf>
    <xf numFmtId="180" fontId="42" fillId="9" borderId="0" xfId="0" applyNumberFormat="1" applyFont="1" applyFill="1" applyBorder="1" applyAlignment="1" applyProtection="1">
      <alignment horizontal="left"/>
    </xf>
    <xf numFmtId="181" fontId="42" fillId="9" borderId="0" xfId="0" applyNumberFormat="1" applyFont="1" applyFill="1" applyBorder="1" applyAlignment="1" applyProtection="1">
      <alignment horizontal="left"/>
    </xf>
    <xf numFmtId="172" fontId="42" fillId="9" borderId="0" xfId="0" applyNumberFormat="1" applyFont="1" applyFill="1" applyBorder="1" applyAlignment="1" applyProtection="1">
      <alignment horizontal="left"/>
    </xf>
    <xf numFmtId="167" fontId="42" fillId="9" borderId="0" xfId="0" applyNumberFormat="1" applyFont="1" applyFill="1" applyBorder="1" applyAlignment="1" applyProtection="1">
      <alignment horizontal="left"/>
    </xf>
    <xf numFmtId="17" fontId="42" fillId="9" borderId="0" xfId="0" quotePrefix="1" applyNumberFormat="1" applyFont="1" applyFill="1" applyBorder="1" applyAlignment="1" applyProtection="1">
      <alignment horizontal="left"/>
    </xf>
    <xf numFmtId="168" fontId="42" fillId="9" borderId="0" xfId="0" applyNumberFormat="1" applyFont="1" applyFill="1" applyBorder="1" applyAlignment="1" applyProtection="1">
      <alignment horizontal="left"/>
    </xf>
    <xf numFmtId="165" fontId="44" fillId="14" borderId="45" xfId="0" applyNumberFormat="1" applyFont="1" applyFill="1" applyBorder="1" applyAlignment="1" applyProtection="1">
      <alignment horizontal="center"/>
    </xf>
    <xf numFmtId="171" fontId="44" fillId="14" borderId="26" xfId="2" applyNumberFormat="1" applyFont="1" applyFill="1" applyBorder="1" applyAlignment="1" applyProtection="1">
      <alignment horizontal="left"/>
    </xf>
    <xf numFmtId="0" fontId="44" fillId="0" borderId="25" xfId="0" applyFont="1" applyFill="1" applyBorder="1" applyAlignment="1" applyProtection="1">
      <alignment horizontal="center"/>
      <protection locked="0"/>
    </xf>
    <xf numFmtId="165" fontId="44" fillId="0" borderId="25" xfId="0" applyNumberFormat="1" applyFont="1" applyFill="1" applyBorder="1" applyAlignment="1" applyProtection="1">
      <alignment horizontal="center"/>
      <protection locked="0"/>
    </xf>
    <xf numFmtId="171" fontId="44" fillId="0" borderId="25" xfId="2" applyNumberFormat="1" applyFont="1" applyFill="1" applyBorder="1" applyAlignment="1" applyProtection="1">
      <alignment horizontal="center"/>
      <protection locked="0"/>
    </xf>
    <xf numFmtId="171" fontId="44" fillId="0" borderId="25" xfId="2" applyNumberFormat="1" applyFont="1" applyFill="1" applyBorder="1" applyAlignment="1" applyProtection="1">
      <alignment horizontal="left"/>
      <protection locked="0"/>
    </xf>
    <xf numFmtId="1" fontId="9" fillId="11" borderId="72" xfId="1" applyNumberFormat="1" applyFill="1" applyBorder="1" applyAlignment="1" applyProtection="1">
      <alignment horizontal="left"/>
      <protection locked="0"/>
    </xf>
    <xf numFmtId="0" fontId="0" fillId="0" borderId="74" xfId="0" applyBorder="1"/>
    <xf numFmtId="0" fontId="0" fillId="0" borderId="75" xfId="0" applyBorder="1"/>
    <xf numFmtId="0" fontId="0" fillId="0" borderId="76" xfId="0" applyBorder="1"/>
    <xf numFmtId="0" fontId="58" fillId="13" borderId="26" xfId="0" applyFont="1" applyFill="1" applyBorder="1" applyAlignment="1" applyProtection="1">
      <alignment horizontal="center"/>
    </xf>
    <xf numFmtId="0" fontId="93" fillId="0" borderId="0" xfId="0" applyFont="1" applyFill="1" applyAlignment="1" applyProtection="1">
      <alignment horizontal="center"/>
    </xf>
    <xf numFmtId="0" fontId="93" fillId="0" borderId="8" xfId="0" applyFont="1" applyFill="1" applyBorder="1" applyAlignment="1" applyProtection="1">
      <alignment horizontal="center"/>
    </xf>
    <xf numFmtId="0" fontId="0" fillId="20" borderId="8" xfId="0" applyFill="1" applyBorder="1" applyAlignment="1"/>
    <xf numFmtId="171" fontId="44" fillId="21" borderId="0" xfId="2" applyNumberFormat="1" applyFont="1" applyFill="1" applyBorder="1" applyAlignment="1" applyProtection="1">
      <alignment horizontal="center"/>
    </xf>
    <xf numFmtId="0" fontId="0" fillId="21" borderId="0" xfId="0" applyFill="1" applyProtection="1"/>
    <xf numFmtId="4" fontId="44" fillId="9" borderId="0" xfId="0" applyNumberFormat="1" applyFont="1" applyFill="1" applyBorder="1" applyAlignment="1" applyProtection="1">
      <alignment horizontal="center"/>
    </xf>
    <xf numFmtId="4" fontId="44" fillId="21" borderId="0" xfId="0" applyNumberFormat="1" applyFont="1" applyFill="1" applyBorder="1" applyAlignment="1" applyProtection="1">
      <alignment horizontal="center"/>
    </xf>
    <xf numFmtId="0" fontId="58" fillId="13" borderId="26" xfId="0" applyFont="1" applyFill="1" applyBorder="1" applyAlignment="1" applyProtection="1">
      <alignment horizontal="center"/>
    </xf>
    <xf numFmtId="4" fontId="44" fillId="8" borderId="0" xfId="0" applyNumberFormat="1" applyFont="1" applyFill="1" applyBorder="1" applyAlignment="1" applyProtection="1">
      <alignment horizontal="center"/>
    </xf>
    <xf numFmtId="0" fontId="0" fillId="8" borderId="0" xfId="0" applyFill="1" applyProtection="1"/>
    <xf numFmtId="0" fontId="44" fillId="0" borderId="77" xfId="0" applyFont="1" applyFill="1" applyBorder="1" applyAlignment="1" applyProtection="1">
      <alignment horizontal="center"/>
      <protection locked="0"/>
    </xf>
    <xf numFmtId="0" fontId="90" fillId="9" borderId="0" xfId="0" applyFont="1" applyFill="1" applyProtection="1"/>
    <xf numFmtId="2" fontId="41" fillId="9" borderId="0" xfId="0" applyNumberFormat="1" applyFont="1" applyFill="1" applyBorder="1" applyAlignment="1" applyProtection="1">
      <alignment horizontal="center"/>
    </xf>
    <xf numFmtId="0" fontId="41" fillId="9" borderId="8" xfId="0" applyFont="1" applyFill="1" applyBorder="1" applyAlignment="1" applyProtection="1">
      <alignment horizontal="center" vertical="center" wrapText="1"/>
    </xf>
    <xf numFmtId="0" fontId="51" fillId="9" borderId="8" xfId="0" applyFont="1" applyFill="1" applyBorder="1" applyAlignment="1" applyProtection="1">
      <alignment horizontal="center" vertical="center" wrapText="1"/>
    </xf>
    <xf numFmtId="0" fontId="53" fillId="9" borderId="0" xfId="0" applyNumberFormat="1" applyFont="1" applyFill="1" applyBorder="1" applyAlignment="1" applyProtection="1">
      <alignment horizontal="center"/>
    </xf>
    <xf numFmtId="0" fontId="41" fillId="9" borderId="8" xfId="0" applyNumberFormat="1" applyFont="1" applyFill="1" applyBorder="1" applyAlignment="1" applyProtection="1">
      <alignment horizontal="center" vertical="center" wrapText="1"/>
    </xf>
    <xf numFmtId="1" fontId="53" fillId="9" borderId="0" xfId="0" applyNumberFormat="1" applyFont="1" applyFill="1" applyBorder="1" applyAlignment="1" applyProtection="1">
      <alignment horizontal="center"/>
    </xf>
    <xf numFmtId="0" fontId="42" fillId="9" borderId="0" xfId="0" applyFont="1" applyFill="1" applyAlignment="1" applyProtection="1">
      <alignment horizontal="center"/>
    </xf>
    <xf numFmtId="0" fontId="0" fillId="0" borderId="0" xfId="0" applyAlignment="1"/>
    <xf numFmtId="0" fontId="2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27" fillId="0" borderId="0" xfId="0" applyFont="1" applyAlignment="1">
      <alignment horizontal="center"/>
    </xf>
    <xf numFmtId="0" fontId="9" fillId="0" borderId="0" xfId="1" applyAlignment="1" applyProtection="1">
      <protection locked="0"/>
    </xf>
    <xf numFmtId="0" fontId="43" fillId="0" borderId="0" xfId="0" applyFont="1" applyAlignment="1" applyProtection="1">
      <protection locked="0"/>
    </xf>
    <xf numFmtId="0" fontId="32" fillId="2" borderId="0" xfId="1" applyFont="1" applyFill="1" applyBorder="1" applyAlignment="1" applyProtection="1">
      <alignment horizontal="left"/>
      <protection locked="0"/>
    </xf>
    <xf numFmtId="0" fontId="44" fillId="9" borderId="0" xfId="0" applyFont="1" applyFill="1" applyAlignment="1" applyProtection="1">
      <alignment horizontal="left" wrapText="1"/>
    </xf>
    <xf numFmtId="0" fontId="44" fillId="9" borderId="0" xfId="0" applyFont="1" applyFill="1" applyAlignment="1" applyProtection="1">
      <alignment horizontal="left"/>
    </xf>
    <xf numFmtId="0" fontId="33" fillId="9" borderId="0" xfId="0" applyFont="1" applyFill="1" applyBorder="1" applyAlignment="1" applyProtection="1">
      <alignment horizontal="left" vertical="center" wrapText="1"/>
    </xf>
    <xf numFmtId="0" fontId="82" fillId="4" borderId="0" xfId="0" applyFont="1" applyFill="1" applyBorder="1" applyAlignment="1" applyProtection="1">
      <alignment horizontal="right" vertical="center" wrapText="1"/>
    </xf>
    <xf numFmtId="0" fontId="83" fillId="0" borderId="0" xfId="0" applyFont="1" applyAlignment="1" applyProtection="1">
      <alignment vertical="center" wrapText="1"/>
    </xf>
    <xf numFmtId="0" fontId="44" fillId="9" borderId="0" xfId="0" applyFont="1" applyFill="1" applyBorder="1" applyAlignment="1" applyProtection="1">
      <alignment horizontal="left" vertical="top" wrapText="1"/>
    </xf>
    <xf numFmtId="0" fontId="56" fillId="9" borderId="0" xfId="1" applyFont="1" applyFill="1" applyBorder="1" applyAlignment="1" applyProtection="1">
      <alignment horizontal="left" vertical="top" wrapText="1"/>
      <protection locked="0"/>
    </xf>
    <xf numFmtId="0" fontId="44" fillId="9" borderId="0" xfId="0" applyFont="1" applyFill="1" applyBorder="1" applyAlignment="1" applyProtection="1">
      <alignment horizontal="left" vertical="top" wrapText="1"/>
      <protection locked="0"/>
    </xf>
    <xf numFmtId="0" fontId="56" fillId="9" borderId="0" xfId="1" applyFont="1" applyFill="1" applyBorder="1" applyAlignment="1" applyProtection="1">
      <alignment horizontal="left" vertical="top" wrapText="1"/>
    </xf>
    <xf numFmtId="0" fontId="58" fillId="12" borderId="37" xfId="0" applyFont="1" applyFill="1" applyBorder="1" applyAlignment="1" applyProtection="1">
      <alignment horizontal="center" vertical="center"/>
    </xf>
    <xf numFmtId="0" fontId="42" fillId="9" borderId="0" xfId="0" applyFont="1" applyFill="1" applyAlignment="1" applyProtection="1">
      <alignment horizontal="center"/>
    </xf>
    <xf numFmtId="0" fontId="58" fillId="12" borderId="34" xfId="0" applyFont="1" applyFill="1" applyBorder="1" applyAlignment="1" applyProtection="1">
      <alignment horizontal="center" vertical="center"/>
    </xf>
    <xf numFmtId="0" fontId="58" fillId="12" borderId="36" xfId="0" applyFont="1" applyFill="1" applyBorder="1" applyAlignment="1" applyProtection="1">
      <alignment horizontal="center" vertical="center"/>
    </xf>
    <xf numFmtId="0" fontId="58" fillId="12" borderId="35" xfId="0" applyFont="1" applyFill="1" applyBorder="1" applyAlignment="1" applyProtection="1">
      <alignment horizontal="center" vertical="center"/>
    </xf>
    <xf numFmtId="0" fontId="66" fillId="9" borderId="0" xfId="0" applyFont="1" applyFill="1" applyBorder="1" applyAlignment="1" applyProtection="1">
      <alignment horizontal="left" vertical="center" wrapText="1"/>
    </xf>
    <xf numFmtId="0" fontId="73" fillId="3" borderId="41" xfId="0" applyFont="1" applyFill="1" applyBorder="1" applyAlignment="1" applyProtection="1">
      <alignment horizontal="center"/>
    </xf>
    <xf numFmtId="0" fontId="73" fillId="3" borderId="0" xfId="0" applyFont="1" applyFill="1" applyBorder="1" applyAlignment="1" applyProtection="1">
      <alignment horizontal="center"/>
    </xf>
    <xf numFmtId="0" fontId="73" fillId="3" borderId="42" xfId="0" applyFont="1" applyFill="1" applyBorder="1" applyAlignment="1" applyProtection="1">
      <alignment horizontal="center"/>
    </xf>
    <xf numFmtId="0" fontId="73" fillId="4" borderId="41" xfId="0" applyFont="1" applyFill="1" applyBorder="1" applyAlignment="1" applyProtection="1">
      <alignment horizontal="center"/>
    </xf>
    <xf numFmtId="0" fontId="73" fillId="4" borderId="0" xfId="0" applyFont="1" applyFill="1" applyBorder="1" applyAlignment="1" applyProtection="1">
      <alignment horizontal="center"/>
    </xf>
    <xf numFmtId="0" fontId="73" fillId="4" borderId="42" xfId="0" applyFont="1" applyFill="1" applyBorder="1" applyAlignment="1" applyProtection="1">
      <alignment horizontal="center"/>
    </xf>
    <xf numFmtId="0" fontId="30" fillId="9" borderId="0" xfId="1" applyFont="1" applyFill="1" applyAlignment="1" applyProtection="1">
      <alignment horizontal="center" vertical="center"/>
    </xf>
    <xf numFmtId="0" fontId="58" fillId="12" borderId="41" xfId="0" applyFont="1" applyFill="1" applyBorder="1" applyAlignment="1" applyProtection="1">
      <alignment horizontal="center" vertical="center"/>
    </xf>
    <xf numFmtId="0" fontId="58" fillId="12" borderId="0" xfId="0" applyFont="1" applyFill="1" applyBorder="1" applyAlignment="1" applyProtection="1">
      <alignment horizontal="center" vertical="center"/>
    </xf>
    <xf numFmtId="0" fontId="58" fillId="12" borderId="42" xfId="0" applyFont="1" applyFill="1" applyBorder="1" applyAlignment="1" applyProtection="1">
      <alignment horizontal="center" vertical="center"/>
    </xf>
    <xf numFmtId="0" fontId="44" fillId="4" borderId="0" xfId="0" applyFont="1" applyFill="1" applyBorder="1" applyAlignment="1" applyProtection="1">
      <alignment horizontal="center"/>
    </xf>
    <xf numFmtId="172" fontId="44" fillId="11" borderId="47" xfId="2" applyNumberFormat="1" applyFont="1" applyFill="1" applyBorder="1" applyAlignment="1" applyProtection="1">
      <alignment horizontal="center" vertical="center" wrapText="1"/>
      <protection locked="0"/>
    </xf>
    <xf numFmtId="172" fontId="44" fillId="11" borderId="48" xfId="2" applyNumberFormat="1" applyFont="1" applyFill="1" applyBorder="1" applyAlignment="1" applyProtection="1">
      <alignment horizontal="center" vertical="center" wrapText="1"/>
      <protection locked="0"/>
    </xf>
    <xf numFmtId="172" fontId="44" fillId="11" borderId="49" xfId="2" applyNumberFormat="1" applyFont="1" applyFill="1" applyBorder="1" applyAlignment="1" applyProtection="1">
      <alignment horizontal="center" vertical="center" wrapText="1"/>
      <protection locked="0"/>
    </xf>
    <xf numFmtId="172" fontId="44" fillId="11" borderId="50" xfId="2" applyNumberFormat="1" applyFont="1" applyFill="1" applyBorder="1" applyAlignment="1" applyProtection="1">
      <alignment horizontal="center" vertical="center" wrapText="1"/>
      <protection locked="0"/>
    </xf>
    <xf numFmtId="9" fontId="44" fillId="11" borderId="29" xfId="3" applyNumberFormat="1" applyFont="1" applyFill="1" applyBorder="1" applyAlignment="1" applyProtection="1">
      <alignment horizontal="left"/>
      <protection locked="0"/>
    </xf>
    <xf numFmtId="9" fontId="44" fillId="11" borderId="59" xfId="3" applyNumberFormat="1" applyFont="1" applyFill="1" applyBorder="1" applyAlignment="1" applyProtection="1">
      <alignment horizontal="left"/>
      <protection locked="0"/>
    </xf>
    <xf numFmtId="9" fontId="44" fillId="11" borderId="30" xfId="3" applyNumberFormat="1" applyFont="1" applyFill="1" applyBorder="1" applyAlignment="1" applyProtection="1">
      <alignment horizontal="left"/>
      <protection locked="0"/>
    </xf>
    <xf numFmtId="0" fontId="44" fillId="8" borderId="0" xfId="0" applyFont="1" applyFill="1" applyBorder="1" applyAlignment="1" applyProtection="1">
      <alignment horizontal="center"/>
    </xf>
    <xf numFmtId="171" fontId="44" fillId="8" borderId="0" xfId="2" applyNumberFormat="1" applyFont="1" applyFill="1" applyBorder="1" applyAlignment="1" applyProtection="1">
      <alignment horizontal="center"/>
    </xf>
    <xf numFmtId="0" fontId="17" fillId="16" borderId="0" xfId="0" applyFont="1" applyFill="1" applyBorder="1" applyAlignment="1" applyProtection="1">
      <alignment horizontal="left" vertical="top" wrapText="1"/>
    </xf>
    <xf numFmtId="0" fontId="48" fillId="4" borderId="0" xfId="0" applyFont="1" applyFill="1" applyBorder="1" applyAlignment="1" applyProtection="1">
      <alignment horizontal="center"/>
    </xf>
    <xf numFmtId="164" fontId="44" fillId="11" borderId="29" xfId="2" applyNumberFormat="1" applyFont="1" applyFill="1" applyBorder="1" applyAlignment="1" applyProtection="1">
      <alignment horizontal="center"/>
      <protection locked="0"/>
    </xf>
    <xf numFmtId="164" fontId="44" fillId="11" borderId="30" xfId="2" applyNumberFormat="1" applyFont="1" applyFill="1" applyBorder="1" applyAlignment="1" applyProtection="1">
      <alignment horizontal="center"/>
      <protection locked="0"/>
    </xf>
    <xf numFmtId="0" fontId="44" fillId="3" borderId="0" xfId="0" applyFont="1" applyFill="1" applyBorder="1" applyAlignment="1" applyProtection="1">
      <alignment horizontal="center"/>
    </xf>
    <xf numFmtId="0" fontId="44" fillId="3" borderId="42" xfId="0" applyFont="1" applyFill="1" applyBorder="1" applyAlignment="1" applyProtection="1">
      <alignment horizontal="center"/>
    </xf>
    <xf numFmtId="0" fontId="44" fillId="11" borderId="29" xfId="0" applyFont="1" applyFill="1" applyBorder="1" applyAlignment="1" applyProtection="1">
      <alignment horizontal="left"/>
      <protection locked="0"/>
    </xf>
    <xf numFmtId="0" fontId="0" fillId="0" borderId="30" xfId="0" applyBorder="1" applyAlignment="1" applyProtection="1">
      <alignment horizontal="left"/>
      <protection locked="0"/>
    </xf>
    <xf numFmtId="0" fontId="69" fillId="9" borderId="0" xfId="0" applyFont="1" applyFill="1" applyBorder="1" applyAlignment="1" applyProtection="1">
      <alignment horizontal="left" vertical="center"/>
    </xf>
    <xf numFmtId="0" fontId="58" fillId="13" borderId="26" xfId="0" applyFont="1" applyFill="1" applyBorder="1" applyAlignment="1" applyProtection="1">
      <alignment horizontal="center"/>
    </xf>
    <xf numFmtId="0" fontId="58" fillId="13" borderId="34" xfId="0" applyFont="1" applyFill="1" applyBorder="1" applyAlignment="1" applyProtection="1">
      <alignment horizontal="center"/>
    </xf>
    <xf numFmtId="0" fontId="58" fillId="13" borderId="35" xfId="0" applyFont="1" applyFill="1" applyBorder="1" applyAlignment="1" applyProtection="1">
      <alignment horizontal="center"/>
    </xf>
    <xf numFmtId="0" fontId="9" fillId="9" borderId="0" xfId="1" applyFill="1" applyAlignment="1" applyProtection="1"/>
    <xf numFmtId="0" fontId="58" fillId="13" borderId="55" xfId="0" applyFont="1" applyFill="1" applyBorder="1" applyAlignment="1" applyProtection="1">
      <alignment horizontal="right"/>
    </xf>
    <xf numFmtId="0" fontId="58" fillId="13" borderId="56" xfId="0" applyFont="1" applyFill="1" applyBorder="1" applyAlignment="1" applyProtection="1">
      <alignment horizontal="right"/>
    </xf>
    <xf numFmtId="0" fontId="58" fillId="13" borderId="36" xfId="0" applyFont="1" applyFill="1" applyBorder="1" applyAlignment="1" applyProtection="1">
      <alignment horizontal="center"/>
    </xf>
    <xf numFmtId="171" fontId="69" fillId="9" borderId="41" xfId="2" applyNumberFormat="1" applyFont="1" applyFill="1" applyBorder="1" applyAlignment="1" applyProtection="1">
      <alignment horizontal="left" vertical="center"/>
    </xf>
    <xf numFmtId="171" fontId="69" fillId="9" borderId="0" xfId="2" applyNumberFormat="1" applyFont="1" applyFill="1" applyBorder="1" applyAlignment="1" applyProtection="1">
      <alignment horizontal="left" vertical="center"/>
    </xf>
    <xf numFmtId="0" fontId="9" fillId="0" borderId="0" xfId="1" applyAlignment="1" applyProtection="1"/>
    <xf numFmtId="0" fontId="58" fillId="13" borderId="57" xfId="0" applyFont="1" applyFill="1" applyBorder="1" applyAlignment="1" applyProtection="1">
      <alignment vertical="center"/>
    </xf>
    <xf numFmtId="0" fontId="0" fillId="0" borderId="58" xfId="0" applyBorder="1" applyAlignment="1" applyProtection="1">
      <alignment vertical="center"/>
    </xf>
    <xf numFmtId="0" fontId="40" fillId="13" borderId="39" xfId="0" applyFont="1" applyFill="1" applyBorder="1" applyAlignment="1" applyProtection="1">
      <alignment horizontal="center"/>
    </xf>
    <xf numFmtId="0" fontId="40" fillId="13" borderId="32" xfId="0" applyFont="1" applyFill="1" applyBorder="1" applyAlignment="1" applyProtection="1">
      <alignment horizontal="center"/>
    </xf>
    <xf numFmtId="0" fontId="48" fillId="4" borderId="23" xfId="0" applyNumberFormat="1" applyFont="1" applyFill="1" applyBorder="1" applyAlignment="1" applyProtection="1">
      <alignment horizontal="center"/>
    </xf>
    <xf numFmtId="0" fontId="48" fillId="4" borderId="23" xfId="0" applyFont="1" applyFill="1" applyBorder="1" applyAlignment="1" applyProtection="1">
      <alignment horizontal="center"/>
    </xf>
    <xf numFmtId="0" fontId="68" fillId="2" borderId="27" xfId="1" applyFont="1" applyFill="1" applyBorder="1" applyAlignment="1" applyProtection="1">
      <alignment horizontal="left"/>
      <protection locked="0"/>
    </xf>
    <xf numFmtId="0" fontId="59" fillId="0" borderId="31" xfId="0" applyFont="1" applyBorder="1" applyAlignment="1" applyProtection="1">
      <alignment horizontal="left"/>
      <protection locked="0"/>
    </xf>
    <xf numFmtId="0" fontId="59" fillId="0" borderId="28" xfId="0" applyFont="1" applyBorder="1" applyAlignment="1" applyProtection="1">
      <alignment horizontal="left"/>
      <protection locked="0"/>
    </xf>
    <xf numFmtId="0" fontId="69" fillId="8" borderId="0" xfId="1" applyFont="1" applyFill="1" applyBorder="1" applyAlignment="1" applyProtection="1">
      <alignment horizontal="center" wrapText="1"/>
      <protection locked="0"/>
    </xf>
    <xf numFmtId="0" fontId="37" fillId="2" borderId="27" xfId="1" applyFont="1" applyFill="1" applyBorder="1" applyAlignment="1" applyProtection="1">
      <protection locked="0"/>
    </xf>
    <xf numFmtId="0" fontId="59" fillId="0" borderId="31" xfId="0" applyFont="1" applyBorder="1" applyAlignment="1" applyProtection="1">
      <protection locked="0"/>
    </xf>
    <xf numFmtId="0" fontId="59" fillId="0" borderId="28" xfId="0" applyFont="1" applyBorder="1" applyAlignment="1" applyProtection="1">
      <protection locked="0"/>
    </xf>
    <xf numFmtId="0" fontId="9" fillId="2" borderId="27" xfId="1" applyFill="1" applyBorder="1" applyAlignment="1" applyProtection="1">
      <alignment horizontal="left"/>
      <protection locked="0"/>
    </xf>
    <xf numFmtId="0" fontId="68" fillId="2" borderId="31" xfId="1" applyFont="1" applyFill="1" applyBorder="1" applyAlignment="1" applyProtection="1">
      <protection locked="0"/>
    </xf>
    <xf numFmtId="0" fontId="68" fillId="2" borderId="28" xfId="1" applyFont="1" applyFill="1" applyBorder="1" applyAlignment="1" applyProtection="1">
      <protection locked="0"/>
    </xf>
    <xf numFmtId="0" fontId="44" fillId="4" borderId="27" xfId="0" quotePrefix="1" applyNumberFormat="1" applyFont="1" applyFill="1" applyBorder="1" applyAlignment="1" applyProtection="1">
      <alignment horizontal="center"/>
    </xf>
    <xf numFmtId="0" fontId="44" fillId="4" borderId="28" xfId="0" quotePrefix="1" applyNumberFormat="1" applyFont="1" applyFill="1" applyBorder="1" applyAlignment="1" applyProtection="1">
      <alignment horizontal="center"/>
    </xf>
    <xf numFmtId="0" fontId="20" fillId="2" borderId="0" xfId="1" applyFont="1" applyFill="1" applyAlignment="1" applyProtection="1">
      <alignment horizontal="left"/>
      <protection locked="0"/>
    </xf>
    <xf numFmtId="0" fontId="0" fillId="0" borderId="0" xfId="0" applyAlignment="1"/>
    <xf numFmtId="0" fontId="1" fillId="0" borderId="8" xfId="0" applyFont="1" applyBorder="1" applyAlignment="1">
      <alignment horizontal="center"/>
    </xf>
    <xf numFmtId="0" fontId="0" fillId="0" borderId="8" xfId="0" applyBorder="1" applyAlignment="1">
      <alignment horizontal="center"/>
    </xf>
    <xf numFmtId="0" fontId="0" fillId="20" borderId="8" xfId="0" applyFill="1" applyBorder="1" applyAlignment="1">
      <alignment horizontal="center"/>
    </xf>
    <xf numFmtId="0" fontId="93" fillId="0" borderId="0" xfId="0" applyFont="1" applyFill="1" applyAlignment="1" applyProtection="1">
      <alignment horizontal="center"/>
    </xf>
    <xf numFmtId="0" fontId="0" fillId="0" borderId="0" xfId="0" applyAlignment="1">
      <alignment horizontal="center" vertical="center"/>
    </xf>
    <xf numFmtId="3" fontId="0" fillId="0" borderId="0" xfId="0" applyNumberFormat="1" applyAlignment="1"/>
    <xf numFmtId="0" fontId="1" fillId="0" borderId="0" xfId="0" applyFont="1" applyAlignment="1"/>
    <xf numFmtId="16" fontId="0" fillId="0" borderId="0" xfId="0" applyNumberFormat="1" applyAlignment="1"/>
    <xf numFmtId="3" fontId="1" fillId="0" borderId="0" xfId="0" applyNumberFormat="1" applyFont="1" applyAlignment="1"/>
    <xf numFmtId="17" fontId="0" fillId="0" borderId="0" xfId="0" applyNumberFormat="1" applyAlignment="1"/>
    <xf numFmtId="164" fontId="0" fillId="0" borderId="0" xfId="2" applyFont="1" applyAlignment="1"/>
    <xf numFmtId="164" fontId="1" fillId="0" borderId="0" xfId="2" applyFont="1" applyAlignment="1"/>
    <xf numFmtId="172" fontId="44" fillId="11" borderId="29" xfId="2" applyNumberFormat="1" applyFont="1" applyFill="1" applyBorder="1" applyAlignment="1" applyProtection="1">
      <alignment horizontal="left"/>
      <protection locked="0"/>
    </xf>
    <xf numFmtId="172" fontId="44" fillId="11" borderId="59" xfId="2" applyNumberFormat="1" applyFont="1" applyFill="1" applyBorder="1" applyAlignment="1" applyProtection="1">
      <alignment horizontal="left"/>
      <protection locked="0"/>
    </xf>
    <xf numFmtId="172" fontId="44" fillId="11" borderId="30" xfId="2" applyNumberFormat="1" applyFont="1" applyFill="1" applyBorder="1" applyAlignment="1" applyProtection="1">
      <alignment horizontal="left"/>
      <protection locked="0"/>
    </xf>
    <xf numFmtId="3" fontId="42" fillId="9" borderId="0" xfId="0" applyNumberFormat="1" applyFont="1" applyFill="1" applyAlignment="1" applyProtection="1">
      <alignment horizontal="center"/>
    </xf>
    <xf numFmtId="16" fontId="42" fillId="9" borderId="0" xfId="0" applyNumberFormat="1" applyFont="1" applyFill="1" applyProtection="1"/>
    <xf numFmtId="16" fontId="42" fillId="9" borderId="0" xfId="0" applyNumberFormat="1" applyFont="1" applyFill="1" applyAlignment="1" applyProtection="1">
      <alignment horizontal="center"/>
    </xf>
    <xf numFmtId="0" fontId="42" fillId="22" borderId="0" xfId="0" applyFont="1" applyFill="1" applyAlignment="1" applyProtection="1">
      <alignment horizontal="center"/>
    </xf>
  </cellXfs>
  <cellStyles count="7">
    <cellStyle name="Komma" xfId="2" builtinId="3"/>
    <cellStyle name="Link" xfId="1" builtinId="8"/>
    <cellStyle name="Prozent" xfId="3" builtinId="5"/>
    <cellStyle name="Standard" xfId="0" builtinId="0"/>
    <cellStyle name="Standard 2" xfId="4"/>
    <cellStyle name="Standard 3" xfId="6"/>
    <cellStyle name="Standard_Tabelle 2" xfId="5"/>
  </cellStyles>
  <dxfs count="16">
    <dxf>
      <font>
        <color theme="0" tint="-0.24994659260841701"/>
      </font>
      <fill>
        <patternFill>
          <bgColor theme="0" tint="-0.24994659260841701"/>
        </patternFill>
      </fill>
      <border>
        <left/>
        <right/>
        <bottom/>
      </border>
    </dxf>
    <dxf>
      <font>
        <color theme="0" tint="-0.24994659260841701"/>
      </font>
      <fill>
        <patternFill>
          <bgColor theme="0" tint="-0.24994659260841701"/>
        </patternFill>
      </fill>
    </dxf>
    <dxf>
      <font>
        <color theme="0" tint="-0.24994659260841701"/>
      </font>
    </dxf>
    <dxf>
      <font>
        <color theme="1" tint="0.34998626667073579"/>
      </font>
    </dxf>
    <dxf>
      <font>
        <color theme="1" tint="0.34998626667073579"/>
      </font>
    </dxf>
    <dxf>
      <font>
        <color theme="1"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bottom/>
        <vertical/>
        <horizontal/>
      </border>
    </dxf>
    <dxf>
      <font>
        <b/>
        <i val="0"/>
        <condense val="0"/>
        <extend val="0"/>
        <color indexed="57"/>
      </font>
      <fill>
        <patternFill>
          <bgColor indexed="22"/>
        </patternFill>
      </fill>
    </dxf>
    <dxf>
      <font>
        <b/>
        <i val="0"/>
        <condense val="0"/>
        <extend val="0"/>
        <color indexed="10"/>
      </font>
      <fill>
        <patternFill>
          <bgColor indexed="22"/>
        </patternFill>
      </fill>
    </dxf>
  </dxfs>
  <tableStyles count="0" defaultTableStyle="TableStyleMedium2" defaultPivotStyle="PivotStyleLight16"/>
  <colors>
    <mruColors>
      <color rgb="FF71706C"/>
      <color rgb="FF005198"/>
      <color rgb="FF00963F"/>
      <color rgb="FFFFFFCC"/>
      <color rgb="FFFFFF99"/>
      <color rgb="FFFFE9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7732703777723"/>
          <c:y val="7.0224901225812986E-2"/>
          <c:w val="0.72986696853804145"/>
          <c:h val="0.59440454651408026"/>
        </c:manualLayout>
      </c:layout>
      <c:barChart>
        <c:barDir val="bar"/>
        <c:grouping val="stacked"/>
        <c:varyColors val="0"/>
        <c:ser>
          <c:idx val="0"/>
          <c:order val="0"/>
          <c:tx>
            <c:strRef>
              <c:f>Eingabe!$AE$38</c:f>
              <c:strCache>
                <c:ptCount val="1"/>
                <c:pt idx="0">
                  <c:v>Investition</c:v>
                </c:pt>
              </c:strCache>
            </c:strRef>
          </c:tx>
          <c:spPr>
            <a:solidFill>
              <a:schemeClr val="tx2"/>
            </a:solidFill>
            <a:effectLst/>
          </c:spPr>
          <c:invertIfNegative val="0"/>
          <c:dLbls>
            <c:spPr>
              <a:noFill/>
              <a:ln>
                <a:noFill/>
              </a:ln>
              <a:effectLst/>
            </c:spPr>
            <c:txPr>
              <a:bodyPr/>
              <a:lstStyle/>
              <a:p>
                <a:pPr>
                  <a:defRPr sz="9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Eingabe!$AH$37:$AI$37</c:f>
              <c:strCache>
                <c:ptCount val="2"/>
                <c:pt idx="0">
                  <c:v>Elektrofahrzeug</c:v>
                </c:pt>
                <c:pt idx="1">
                  <c:v>Verbrennungs-Kfz</c:v>
                </c:pt>
              </c:strCache>
            </c:strRef>
          </c:cat>
          <c:val>
            <c:numRef>
              <c:f>Eingabe!$AH$38:$AI$38</c:f>
              <c:numCache>
                <c:formatCode>"€"#,##0_);\("€"#,##0\)</c:formatCode>
                <c:ptCount val="2"/>
                <c:pt idx="0">
                  <c:v>233.4722222222222</c:v>
                </c:pt>
                <c:pt idx="1">
                  <c:v>187.43055555555554</c:v>
                </c:pt>
              </c:numCache>
            </c:numRef>
          </c:val>
          <c:extLst>
            <c:ext xmlns:c16="http://schemas.microsoft.com/office/drawing/2014/chart" uri="{C3380CC4-5D6E-409C-BE32-E72D297353CC}">
              <c16:uniqueId val="{00000000-FFE3-469E-B4B1-602005A1B3D2}"/>
            </c:ext>
          </c:extLst>
        </c:ser>
        <c:ser>
          <c:idx val="1"/>
          <c:order val="1"/>
          <c:tx>
            <c:strRef>
              <c:f>Eingabe!$AE$39</c:f>
              <c:strCache>
                <c:ptCount val="1"/>
                <c:pt idx="0">
                  <c:v>Betriebskosten</c:v>
                </c:pt>
              </c:strCache>
            </c:strRef>
          </c:tx>
          <c:spPr>
            <a:solidFill>
              <a:srgbClr val="71706C"/>
            </a:solidFill>
            <a:effectLst/>
          </c:spPr>
          <c:invertIfNegative val="0"/>
          <c:dLbls>
            <c:spPr>
              <a:noFill/>
              <a:ln>
                <a:noFill/>
              </a:ln>
              <a:effectLst/>
            </c:spPr>
            <c:txPr>
              <a:bodyPr/>
              <a:lstStyle/>
              <a:p>
                <a:pPr>
                  <a:defRPr sz="9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Eingabe!$AH$37:$AI$37</c:f>
              <c:strCache>
                <c:ptCount val="2"/>
                <c:pt idx="0">
                  <c:v>Elektrofahrzeug</c:v>
                </c:pt>
                <c:pt idx="1">
                  <c:v>Verbrennungs-Kfz</c:v>
                </c:pt>
              </c:strCache>
            </c:strRef>
          </c:cat>
          <c:val>
            <c:numRef>
              <c:f>Eingabe!$AH$39:$AI$39</c:f>
              <c:numCache>
                <c:formatCode>"€"#,##0_);\("€"#,##0\)</c:formatCode>
                <c:ptCount val="2"/>
                <c:pt idx="0">
                  <c:v>58.783333333333331</c:v>
                </c:pt>
                <c:pt idx="1">
                  <c:v>111.14333333333333</c:v>
                </c:pt>
              </c:numCache>
            </c:numRef>
          </c:val>
          <c:extLst>
            <c:ext xmlns:c16="http://schemas.microsoft.com/office/drawing/2014/chart" uri="{C3380CC4-5D6E-409C-BE32-E72D297353CC}">
              <c16:uniqueId val="{00000001-FFE3-469E-B4B1-602005A1B3D2}"/>
            </c:ext>
          </c:extLst>
        </c:ser>
        <c:ser>
          <c:idx val="2"/>
          <c:order val="2"/>
          <c:tx>
            <c:strRef>
              <c:f>Eingabe!$AE$40</c:f>
              <c:strCache>
                <c:ptCount val="1"/>
                <c:pt idx="0">
                  <c:v>Verbrauchskosten</c:v>
                </c:pt>
              </c:strCache>
            </c:strRef>
          </c:tx>
          <c:spPr>
            <a:solidFill>
              <a:srgbClr val="00963F"/>
            </a:solidFill>
            <a:effectLst/>
          </c:spPr>
          <c:invertIfNegative val="0"/>
          <c:dLbls>
            <c:dLbl>
              <c:idx val="0"/>
              <c:layout>
                <c:manualLayout>
                  <c:x val="-2.473810720365890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FE3-469E-B4B1-602005A1B3D2}"/>
                </c:ext>
              </c:extLst>
            </c:dLbl>
            <c:spPr>
              <a:effectLst/>
            </c:spPr>
            <c:txPr>
              <a:bodyPr/>
              <a:lstStyle/>
              <a:p>
                <a:pPr>
                  <a:defRPr sz="9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Eingabe!$AH$37:$AI$37</c:f>
              <c:strCache>
                <c:ptCount val="2"/>
                <c:pt idx="0">
                  <c:v>Elektrofahrzeug</c:v>
                </c:pt>
                <c:pt idx="1">
                  <c:v>Verbrennungs-Kfz</c:v>
                </c:pt>
              </c:strCache>
            </c:strRef>
          </c:cat>
          <c:val>
            <c:numRef>
              <c:f>Eingabe!$AH$40:$AI$40</c:f>
              <c:numCache>
                <c:formatCode>"€"#,##0_);\("€"#,##0\)</c:formatCode>
                <c:ptCount val="2"/>
                <c:pt idx="0">
                  <c:v>39.718245614035091</c:v>
                </c:pt>
                <c:pt idx="1">
                  <c:v>69.300000000000011</c:v>
                </c:pt>
              </c:numCache>
            </c:numRef>
          </c:val>
          <c:extLst>
            <c:ext xmlns:c16="http://schemas.microsoft.com/office/drawing/2014/chart" uri="{C3380CC4-5D6E-409C-BE32-E72D297353CC}">
              <c16:uniqueId val="{00000003-FFE3-469E-B4B1-602005A1B3D2}"/>
            </c:ext>
          </c:extLst>
        </c:ser>
        <c:dLbls>
          <c:showLegendKey val="0"/>
          <c:showVal val="0"/>
          <c:showCatName val="0"/>
          <c:showSerName val="0"/>
          <c:showPercent val="0"/>
          <c:showBubbleSize val="0"/>
        </c:dLbls>
        <c:gapWidth val="90"/>
        <c:overlap val="100"/>
        <c:axId val="122705024"/>
        <c:axId val="82928000"/>
      </c:barChart>
      <c:catAx>
        <c:axId val="122705024"/>
        <c:scaling>
          <c:orientation val="minMax"/>
        </c:scaling>
        <c:delete val="0"/>
        <c:axPos val="l"/>
        <c:numFmt formatCode="General" sourceLinked="0"/>
        <c:majorTickMark val="out"/>
        <c:minorTickMark val="none"/>
        <c:tickLblPos val="nextTo"/>
        <c:txPr>
          <a:bodyPr/>
          <a:lstStyle/>
          <a:p>
            <a:pPr>
              <a:defRPr sz="900"/>
            </a:pPr>
            <a:endParaRPr lang="de-DE"/>
          </a:p>
        </c:txPr>
        <c:crossAx val="82928000"/>
        <c:crosses val="autoZero"/>
        <c:auto val="1"/>
        <c:lblAlgn val="ctr"/>
        <c:lblOffset val="100"/>
        <c:noMultiLvlLbl val="0"/>
      </c:catAx>
      <c:valAx>
        <c:axId val="82928000"/>
        <c:scaling>
          <c:orientation val="minMax"/>
        </c:scaling>
        <c:delete val="0"/>
        <c:axPos val="b"/>
        <c:minorGridlines>
          <c:spPr>
            <a:ln>
              <a:prstDash val="sysDash"/>
            </a:ln>
          </c:spPr>
        </c:minorGridlines>
        <c:numFmt formatCode="&quot;€&quot;#,##0_);\(&quot;€&quot;#,##0\)" sourceLinked="1"/>
        <c:majorTickMark val="out"/>
        <c:minorTickMark val="none"/>
        <c:tickLblPos val="nextTo"/>
        <c:txPr>
          <a:bodyPr/>
          <a:lstStyle/>
          <a:p>
            <a:pPr>
              <a:defRPr sz="900"/>
            </a:pPr>
            <a:endParaRPr lang="de-DE"/>
          </a:p>
        </c:txPr>
        <c:crossAx val="122705024"/>
        <c:crosses val="autoZero"/>
        <c:crossBetween val="between"/>
      </c:valAx>
      <c:spPr>
        <a:solidFill>
          <a:schemeClr val="bg1"/>
        </a:solidFill>
        <a:ln>
          <a:noFill/>
        </a:ln>
      </c:spPr>
    </c:plotArea>
    <c:legend>
      <c:legendPos val="r"/>
      <c:layout>
        <c:manualLayout>
          <c:xMode val="edge"/>
          <c:yMode val="edge"/>
          <c:x val="0.13167983138513797"/>
          <c:y val="0.84652318414599081"/>
          <c:w val="0.85744731123018736"/>
          <c:h val="8.9539888747147092E-2"/>
        </c:manualLayout>
      </c:layout>
      <c:overlay val="0"/>
      <c:txPr>
        <a:bodyPr/>
        <a:lstStyle/>
        <a:p>
          <a:pPr>
            <a:defRPr sz="900"/>
          </a:pPr>
          <a:endParaRPr lang="de-DE"/>
        </a:p>
      </c:txPr>
    </c:legend>
    <c:plotVisOnly val="1"/>
    <c:dispBlanksAs val="gap"/>
    <c:showDLblsOverMax val="0"/>
  </c:chart>
  <c:spPr>
    <a:solidFill>
      <a:schemeClr val="bg1">
        <a:lumMod val="75000"/>
      </a:schemeClr>
    </a:solidFill>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87560118462332"/>
          <c:y val="8.390844506932775E-2"/>
          <c:w val="0.73155419285785594"/>
          <c:h val="0.56822600545628399"/>
        </c:manualLayout>
      </c:layout>
      <c:barChart>
        <c:barDir val="bar"/>
        <c:grouping val="clustered"/>
        <c:varyColors val="0"/>
        <c:ser>
          <c:idx val="0"/>
          <c:order val="0"/>
          <c:tx>
            <c:strRef>
              <c:f>Eingabe!$AH$37</c:f>
              <c:strCache>
                <c:ptCount val="1"/>
                <c:pt idx="0">
                  <c:v>Elektrofahrzeug</c:v>
                </c:pt>
              </c:strCache>
            </c:strRef>
          </c:tx>
          <c:spPr>
            <a:noFill/>
            <a:ln>
              <a:noFill/>
            </a:ln>
          </c:spPr>
          <c:invertIfNegative val="0"/>
          <c:dLbls>
            <c:spPr>
              <a:noFill/>
            </c:spPr>
            <c:txPr>
              <a:bodyPr/>
              <a:lstStyle/>
              <a:p>
                <a:pPr>
                  <a:defRPr sz="900" b="1">
                    <a:solidFill>
                      <a:sysClr val="windowText" lastClr="000000"/>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Eingabe!$AE$41</c:f>
              <c:strCache>
                <c:ptCount val="1"/>
                <c:pt idx="0">
                  <c:v>Summe:</c:v>
                </c:pt>
              </c:strCache>
            </c:strRef>
          </c:cat>
          <c:val>
            <c:numRef>
              <c:f>Eingabe!$AH$41</c:f>
              <c:numCache>
                <c:formatCode>"€"#,##0_);\("€"#,##0\)</c:formatCode>
                <c:ptCount val="1"/>
                <c:pt idx="0">
                  <c:v>331.97380116959062</c:v>
                </c:pt>
              </c:numCache>
            </c:numRef>
          </c:val>
          <c:extLst>
            <c:ext xmlns:c16="http://schemas.microsoft.com/office/drawing/2014/chart" uri="{C3380CC4-5D6E-409C-BE32-E72D297353CC}">
              <c16:uniqueId val="{00000000-0360-4EDD-9057-66D86C224C6B}"/>
            </c:ext>
          </c:extLst>
        </c:ser>
        <c:ser>
          <c:idx val="1"/>
          <c:order val="1"/>
          <c:tx>
            <c:strRef>
              <c:f>Eingabe!$AI$37</c:f>
              <c:strCache>
                <c:ptCount val="1"/>
                <c:pt idx="0">
                  <c:v>Verbrennungs-Kfz</c:v>
                </c:pt>
              </c:strCache>
            </c:strRef>
          </c:tx>
          <c:spPr>
            <a:noFill/>
            <a:ln>
              <a:noFill/>
            </a:ln>
          </c:spPr>
          <c:invertIfNegative val="0"/>
          <c:dLbls>
            <c:spPr>
              <a:noFill/>
            </c:spPr>
            <c:txPr>
              <a:bodyPr/>
              <a:lstStyle/>
              <a:p>
                <a:pPr>
                  <a:defRPr sz="900" b="1">
                    <a:solidFill>
                      <a:sysClr val="windowText" lastClr="000000"/>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Eingabe!$AE$41</c:f>
              <c:strCache>
                <c:ptCount val="1"/>
                <c:pt idx="0">
                  <c:v>Summe:</c:v>
                </c:pt>
              </c:strCache>
            </c:strRef>
          </c:cat>
          <c:val>
            <c:numRef>
              <c:f>Eingabe!$AI$41</c:f>
              <c:numCache>
                <c:formatCode>"€"#,##0_);\("€"#,##0\)</c:formatCode>
                <c:ptCount val="1"/>
                <c:pt idx="0">
                  <c:v>367.87388888888887</c:v>
                </c:pt>
              </c:numCache>
            </c:numRef>
          </c:val>
          <c:extLst>
            <c:ext xmlns:c16="http://schemas.microsoft.com/office/drawing/2014/chart" uri="{C3380CC4-5D6E-409C-BE32-E72D297353CC}">
              <c16:uniqueId val="{00000001-0360-4EDD-9057-66D86C224C6B}"/>
            </c:ext>
          </c:extLst>
        </c:ser>
        <c:dLbls>
          <c:showLegendKey val="0"/>
          <c:showVal val="0"/>
          <c:showCatName val="0"/>
          <c:showSerName val="0"/>
          <c:showPercent val="0"/>
          <c:showBubbleSize val="0"/>
        </c:dLbls>
        <c:gapWidth val="90"/>
        <c:overlap val="-80"/>
        <c:axId val="86707200"/>
        <c:axId val="86713088"/>
      </c:barChart>
      <c:catAx>
        <c:axId val="86707200"/>
        <c:scaling>
          <c:orientation val="minMax"/>
        </c:scaling>
        <c:delete val="1"/>
        <c:axPos val="l"/>
        <c:numFmt formatCode="General" sourceLinked="0"/>
        <c:majorTickMark val="none"/>
        <c:minorTickMark val="none"/>
        <c:tickLblPos val="none"/>
        <c:crossAx val="86713088"/>
        <c:crosses val="autoZero"/>
        <c:auto val="1"/>
        <c:lblAlgn val="ctr"/>
        <c:lblOffset val="100"/>
        <c:noMultiLvlLbl val="0"/>
      </c:catAx>
      <c:valAx>
        <c:axId val="86713088"/>
        <c:scaling>
          <c:orientation val="minMax"/>
          <c:min val="0"/>
        </c:scaling>
        <c:delete val="1"/>
        <c:axPos val="b"/>
        <c:numFmt formatCode="&quot;€&quot;#,##0_);\(&quot;€&quot;#,##0\)" sourceLinked="1"/>
        <c:majorTickMark val="out"/>
        <c:minorTickMark val="none"/>
        <c:tickLblPos val="nextTo"/>
        <c:crossAx val="86707200"/>
        <c:crosses val="autoZero"/>
        <c:crossBetween val="between"/>
      </c:valAx>
      <c:spPr>
        <a:noFill/>
        <a:ln>
          <a:noFill/>
        </a:ln>
      </c:spPr>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63833455835626"/>
          <c:y val="7.0224901225812986E-2"/>
          <c:w val="0.74058075012211255"/>
          <c:h val="0.59440454651408026"/>
        </c:manualLayout>
      </c:layout>
      <c:barChart>
        <c:barDir val="bar"/>
        <c:grouping val="stacked"/>
        <c:varyColors val="0"/>
        <c:ser>
          <c:idx val="0"/>
          <c:order val="0"/>
          <c:tx>
            <c:strRef>
              <c:f>Eingabe!$AE$38</c:f>
              <c:strCache>
                <c:ptCount val="1"/>
                <c:pt idx="0">
                  <c:v>Investition</c:v>
                </c:pt>
              </c:strCache>
            </c:strRef>
          </c:tx>
          <c:spPr>
            <a:solidFill>
              <a:schemeClr val="tx2"/>
            </a:solidFill>
            <a:effectLst/>
          </c:spPr>
          <c:invertIfNegative val="0"/>
          <c:dLbls>
            <c:spPr>
              <a:noFill/>
              <a:ln>
                <a:noFill/>
              </a:ln>
              <a:effectLst/>
            </c:spPr>
            <c:txPr>
              <a:bodyPr/>
              <a:lstStyle/>
              <a:p>
                <a:pPr>
                  <a:defRPr sz="9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Eingabe!$AF$37:$AG$37</c:f>
              <c:strCache>
                <c:ptCount val="2"/>
                <c:pt idx="0">
                  <c:v>Elektrofahrzeug</c:v>
                </c:pt>
                <c:pt idx="1">
                  <c:v>Verbrennungs-Kfz</c:v>
                </c:pt>
              </c:strCache>
            </c:strRef>
          </c:cat>
          <c:val>
            <c:numRef>
              <c:f>Eingabe!$AF$38:$AG$38</c:f>
              <c:numCache>
                <c:formatCode>"€"#,##0_);\("€"#,##0\)</c:formatCode>
                <c:ptCount val="2"/>
                <c:pt idx="0">
                  <c:v>2801.6666666666665</c:v>
                </c:pt>
                <c:pt idx="1">
                  <c:v>2249.1666666666665</c:v>
                </c:pt>
              </c:numCache>
            </c:numRef>
          </c:val>
          <c:extLst>
            <c:ext xmlns:c16="http://schemas.microsoft.com/office/drawing/2014/chart" uri="{C3380CC4-5D6E-409C-BE32-E72D297353CC}">
              <c16:uniqueId val="{00000000-3D5D-45F1-8C01-3C2863A8D3CC}"/>
            </c:ext>
          </c:extLst>
        </c:ser>
        <c:ser>
          <c:idx val="1"/>
          <c:order val="1"/>
          <c:tx>
            <c:strRef>
              <c:f>Eingabe!$AE$39</c:f>
              <c:strCache>
                <c:ptCount val="1"/>
                <c:pt idx="0">
                  <c:v>Betriebskosten</c:v>
                </c:pt>
              </c:strCache>
            </c:strRef>
          </c:tx>
          <c:spPr>
            <a:solidFill>
              <a:srgbClr val="71706C"/>
            </a:solidFill>
            <a:effectLst/>
          </c:spPr>
          <c:invertIfNegative val="0"/>
          <c:dLbls>
            <c:spPr>
              <a:noFill/>
              <a:ln>
                <a:noFill/>
              </a:ln>
              <a:effectLst/>
            </c:spPr>
            <c:txPr>
              <a:bodyPr/>
              <a:lstStyle/>
              <a:p>
                <a:pPr>
                  <a:defRPr sz="9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Eingabe!$AF$37:$AG$37</c:f>
              <c:strCache>
                <c:ptCount val="2"/>
                <c:pt idx="0">
                  <c:v>Elektrofahrzeug</c:v>
                </c:pt>
                <c:pt idx="1">
                  <c:v>Verbrennungs-Kfz</c:v>
                </c:pt>
              </c:strCache>
            </c:strRef>
          </c:cat>
          <c:val>
            <c:numRef>
              <c:f>Eingabe!$AF$39:$AG$39</c:f>
              <c:numCache>
                <c:formatCode>"€"#,##0_);\("€"#,##0\)</c:formatCode>
                <c:ptCount val="2"/>
                <c:pt idx="0">
                  <c:v>705.4</c:v>
                </c:pt>
                <c:pt idx="1">
                  <c:v>1333.72</c:v>
                </c:pt>
              </c:numCache>
            </c:numRef>
          </c:val>
          <c:extLst>
            <c:ext xmlns:c16="http://schemas.microsoft.com/office/drawing/2014/chart" uri="{C3380CC4-5D6E-409C-BE32-E72D297353CC}">
              <c16:uniqueId val="{00000001-3D5D-45F1-8C01-3C2863A8D3CC}"/>
            </c:ext>
          </c:extLst>
        </c:ser>
        <c:ser>
          <c:idx val="2"/>
          <c:order val="2"/>
          <c:tx>
            <c:strRef>
              <c:f>Eingabe!$AE$40</c:f>
              <c:strCache>
                <c:ptCount val="1"/>
                <c:pt idx="0">
                  <c:v>Verbrauchskosten</c:v>
                </c:pt>
              </c:strCache>
            </c:strRef>
          </c:tx>
          <c:spPr>
            <a:solidFill>
              <a:srgbClr val="00963F"/>
            </a:solidFill>
            <a:effectLst/>
          </c:spPr>
          <c:invertIfNegative val="0"/>
          <c:dLbls>
            <c:dLbl>
              <c:idx val="0"/>
              <c:spPr>
                <a:effectLst/>
              </c:spPr>
              <c:txPr>
                <a:bodyPr/>
                <a:lstStyle/>
                <a:p>
                  <a:pPr>
                    <a:defRPr sz="700">
                      <a:solidFill>
                        <a:schemeClr val="bg1"/>
                      </a:solidFill>
                    </a:defRPr>
                  </a:pPr>
                  <a:endParaRPr lang="de-DE"/>
                </a:p>
              </c:txPr>
              <c:dLblPos val="ctr"/>
              <c:showLegendKey val="0"/>
              <c:showVal val="1"/>
              <c:showCatName val="0"/>
              <c:showSerName val="0"/>
              <c:showPercent val="0"/>
              <c:showBubbleSize val="0"/>
              <c:extLst>
                <c:ext xmlns:c16="http://schemas.microsoft.com/office/drawing/2014/chart" uri="{C3380CC4-5D6E-409C-BE32-E72D297353CC}">
                  <c16:uniqueId val="{00000000-025B-4C05-812E-F04B2656FF02}"/>
                </c:ext>
              </c:extLst>
            </c:dLbl>
            <c:spPr>
              <a:effectLst/>
            </c:spPr>
            <c:txPr>
              <a:bodyPr/>
              <a:lstStyle/>
              <a:p>
                <a:pPr>
                  <a:defRPr sz="900">
                    <a:solidFill>
                      <a:schemeClr val="bg1"/>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Eingabe!$AF$37:$AG$37</c:f>
              <c:strCache>
                <c:ptCount val="2"/>
                <c:pt idx="0">
                  <c:v>Elektrofahrzeug</c:v>
                </c:pt>
                <c:pt idx="1">
                  <c:v>Verbrennungs-Kfz</c:v>
                </c:pt>
              </c:strCache>
            </c:strRef>
          </c:cat>
          <c:val>
            <c:numRef>
              <c:f>Eingabe!$AF$40:$AG$40</c:f>
              <c:numCache>
                <c:formatCode>"€"#,##0_);\("€"#,##0\)</c:formatCode>
                <c:ptCount val="2"/>
                <c:pt idx="0">
                  <c:v>476.61894736842106</c:v>
                </c:pt>
                <c:pt idx="1">
                  <c:v>831.60000000000014</c:v>
                </c:pt>
              </c:numCache>
            </c:numRef>
          </c:val>
          <c:extLst>
            <c:ext xmlns:c16="http://schemas.microsoft.com/office/drawing/2014/chart" uri="{C3380CC4-5D6E-409C-BE32-E72D297353CC}">
              <c16:uniqueId val="{00000003-3D5D-45F1-8C01-3C2863A8D3CC}"/>
            </c:ext>
          </c:extLst>
        </c:ser>
        <c:dLbls>
          <c:showLegendKey val="0"/>
          <c:showVal val="0"/>
          <c:showCatName val="0"/>
          <c:showSerName val="0"/>
          <c:showPercent val="0"/>
          <c:showBubbleSize val="0"/>
        </c:dLbls>
        <c:gapWidth val="100"/>
        <c:overlap val="100"/>
        <c:axId val="86726528"/>
        <c:axId val="86728064"/>
      </c:barChart>
      <c:catAx>
        <c:axId val="86726528"/>
        <c:scaling>
          <c:orientation val="minMax"/>
        </c:scaling>
        <c:delete val="0"/>
        <c:axPos val="l"/>
        <c:numFmt formatCode="General" sourceLinked="0"/>
        <c:majorTickMark val="out"/>
        <c:minorTickMark val="none"/>
        <c:tickLblPos val="nextTo"/>
        <c:txPr>
          <a:bodyPr/>
          <a:lstStyle/>
          <a:p>
            <a:pPr>
              <a:defRPr sz="900"/>
            </a:pPr>
            <a:endParaRPr lang="de-DE"/>
          </a:p>
        </c:txPr>
        <c:crossAx val="86728064"/>
        <c:crosses val="autoZero"/>
        <c:auto val="1"/>
        <c:lblAlgn val="ctr"/>
        <c:lblOffset val="100"/>
        <c:noMultiLvlLbl val="0"/>
      </c:catAx>
      <c:valAx>
        <c:axId val="86728064"/>
        <c:scaling>
          <c:orientation val="minMax"/>
        </c:scaling>
        <c:delete val="0"/>
        <c:axPos val="b"/>
        <c:minorGridlines>
          <c:spPr>
            <a:ln>
              <a:prstDash val="sysDash"/>
            </a:ln>
          </c:spPr>
        </c:minorGridlines>
        <c:numFmt formatCode="&quot;€&quot;#,##0_);\(&quot;€&quot;#,##0\)" sourceLinked="1"/>
        <c:majorTickMark val="out"/>
        <c:minorTickMark val="none"/>
        <c:tickLblPos val="nextTo"/>
        <c:txPr>
          <a:bodyPr/>
          <a:lstStyle/>
          <a:p>
            <a:pPr>
              <a:defRPr sz="900"/>
            </a:pPr>
            <a:endParaRPr lang="de-DE"/>
          </a:p>
        </c:txPr>
        <c:crossAx val="86726528"/>
        <c:crosses val="autoZero"/>
        <c:crossBetween val="between"/>
        <c:majorUnit val="1000"/>
      </c:valAx>
      <c:spPr>
        <a:solidFill>
          <a:schemeClr val="bg1"/>
        </a:solidFill>
        <a:ln>
          <a:noFill/>
        </a:ln>
      </c:spPr>
    </c:plotArea>
    <c:legend>
      <c:legendPos val="r"/>
      <c:layout>
        <c:manualLayout>
          <c:xMode val="edge"/>
          <c:yMode val="edge"/>
          <c:x val="0.12365690378689161"/>
          <c:y val="0.85887578728534975"/>
          <c:w val="0.85744731123018736"/>
          <c:h val="8.9539888747147092E-2"/>
        </c:manualLayout>
      </c:layout>
      <c:overlay val="0"/>
      <c:txPr>
        <a:bodyPr/>
        <a:lstStyle/>
        <a:p>
          <a:pPr>
            <a:defRPr sz="900"/>
          </a:pPr>
          <a:endParaRPr lang="de-DE"/>
        </a:p>
      </c:txPr>
    </c:legend>
    <c:plotVisOnly val="1"/>
    <c:dispBlanksAs val="gap"/>
    <c:showDLblsOverMax val="0"/>
  </c:chart>
  <c:spPr>
    <a:solidFill>
      <a:schemeClr val="bg1">
        <a:lumMod val="75000"/>
      </a:schemeClr>
    </a:solid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59954100202008"/>
          <c:y val="5.7656291988506775E-2"/>
          <c:w val="0.73425615585843884"/>
          <c:h val="0.66056404991421436"/>
        </c:manualLayout>
      </c:layout>
      <c:barChart>
        <c:barDir val="bar"/>
        <c:grouping val="clustered"/>
        <c:varyColors val="0"/>
        <c:ser>
          <c:idx val="0"/>
          <c:order val="0"/>
          <c:tx>
            <c:strRef>
              <c:f>Eingabe!$AF$37</c:f>
              <c:strCache>
                <c:ptCount val="1"/>
                <c:pt idx="0">
                  <c:v>Elektrofahrzeug</c:v>
                </c:pt>
              </c:strCache>
            </c:strRef>
          </c:tx>
          <c:spPr>
            <a:noFill/>
          </c:spPr>
          <c:invertIfNegative val="0"/>
          <c:dLbls>
            <c:spPr>
              <a:noFill/>
            </c:spPr>
            <c:txPr>
              <a:bodyPr/>
              <a:lstStyle/>
              <a:p>
                <a:pPr>
                  <a:defRPr sz="900" b="1">
                    <a:solidFill>
                      <a:sysClr val="windowText" lastClr="000000"/>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Eingabe!$AE$41</c:f>
              <c:strCache>
                <c:ptCount val="1"/>
                <c:pt idx="0">
                  <c:v>Summe:</c:v>
                </c:pt>
              </c:strCache>
            </c:strRef>
          </c:cat>
          <c:val>
            <c:numRef>
              <c:f>Eingabe!$AF$41</c:f>
              <c:numCache>
                <c:formatCode>"€"#,##0_);\("€"#,##0\)</c:formatCode>
                <c:ptCount val="1"/>
                <c:pt idx="0">
                  <c:v>3983.6856140350878</c:v>
                </c:pt>
              </c:numCache>
            </c:numRef>
          </c:val>
          <c:extLst>
            <c:ext xmlns:c16="http://schemas.microsoft.com/office/drawing/2014/chart" uri="{C3380CC4-5D6E-409C-BE32-E72D297353CC}">
              <c16:uniqueId val="{00000000-5F17-4FD0-A89D-EB9CB9AA08AA}"/>
            </c:ext>
          </c:extLst>
        </c:ser>
        <c:ser>
          <c:idx val="1"/>
          <c:order val="1"/>
          <c:tx>
            <c:strRef>
              <c:f>Eingabe!$AG$37</c:f>
              <c:strCache>
                <c:ptCount val="1"/>
                <c:pt idx="0">
                  <c:v>Verbrennungs-Kfz</c:v>
                </c:pt>
              </c:strCache>
            </c:strRef>
          </c:tx>
          <c:spPr>
            <a:noFill/>
            <a:ln>
              <a:noFill/>
            </a:ln>
          </c:spPr>
          <c:invertIfNegative val="0"/>
          <c:dLbls>
            <c:dLbl>
              <c:idx val="0"/>
              <c:layout>
                <c:manualLayout>
                  <c:x val="7.9840319361278427E-3"/>
                  <c:y val="2.076027566640538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17-4FD0-A89D-EB9CB9AA08AA}"/>
                </c:ext>
              </c:extLst>
            </c:dLbl>
            <c:spPr>
              <a:noFill/>
            </c:spPr>
            <c:txPr>
              <a:bodyPr/>
              <a:lstStyle/>
              <a:p>
                <a:pPr>
                  <a:defRPr sz="900" b="1">
                    <a:solidFill>
                      <a:sysClr val="windowText" lastClr="000000"/>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Eingabe!$AE$41</c:f>
              <c:strCache>
                <c:ptCount val="1"/>
                <c:pt idx="0">
                  <c:v>Summe:</c:v>
                </c:pt>
              </c:strCache>
            </c:strRef>
          </c:cat>
          <c:val>
            <c:numRef>
              <c:f>Eingabe!$AG$41</c:f>
              <c:numCache>
                <c:formatCode>"€"#,##0_);\("€"#,##0\)</c:formatCode>
                <c:ptCount val="1"/>
                <c:pt idx="0">
                  <c:v>4414.4866666666667</c:v>
                </c:pt>
              </c:numCache>
            </c:numRef>
          </c:val>
          <c:extLst>
            <c:ext xmlns:c16="http://schemas.microsoft.com/office/drawing/2014/chart" uri="{C3380CC4-5D6E-409C-BE32-E72D297353CC}">
              <c16:uniqueId val="{00000002-5F17-4FD0-A89D-EB9CB9AA08AA}"/>
            </c:ext>
          </c:extLst>
        </c:ser>
        <c:dLbls>
          <c:showLegendKey val="0"/>
          <c:showVal val="0"/>
          <c:showCatName val="0"/>
          <c:showSerName val="0"/>
          <c:showPercent val="0"/>
          <c:showBubbleSize val="0"/>
        </c:dLbls>
        <c:gapWidth val="100"/>
        <c:overlap val="-80"/>
        <c:axId val="86776064"/>
        <c:axId val="86777856"/>
      </c:barChart>
      <c:catAx>
        <c:axId val="86776064"/>
        <c:scaling>
          <c:orientation val="minMax"/>
        </c:scaling>
        <c:delete val="1"/>
        <c:axPos val="l"/>
        <c:numFmt formatCode="General" sourceLinked="0"/>
        <c:majorTickMark val="none"/>
        <c:minorTickMark val="none"/>
        <c:tickLblPos val="none"/>
        <c:crossAx val="86777856"/>
        <c:crosses val="autoZero"/>
        <c:auto val="1"/>
        <c:lblAlgn val="ctr"/>
        <c:lblOffset val="100"/>
        <c:noMultiLvlLbl val="0"/>
      </c:catAx>
      <c:valAx>
        <c:axId val="86777856"/>
        <c:scaling>
          <c:orientation val="minMax"/>
          <c:min val="0"/>
        </c:scaling>
        <c:delete val="1"/>
        <c:axPos val="b"/>
        <c:numFmt formatCode="&quot;€&quot;#,##0_);\(&quot;€&quot;#,##0\)" sourceLinked="1"/>
        <c:majorTickMark val="out"/>
        <c:minorTickMark val="none"/>
        <c:tickLblPos val="nextTo"/>
        <c:crossAx val="86776064"/>
        <c:crosses val="autoZero"/>
        <c:crossBetween val="between"/>
      </c:valAx>
      <c:spPr>
        <a:noFill/>
      </c:spPr>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5366183631321"/>
          <c:y val="7.1428531917553467E-2"/>
          <c:w val="0.84305868478306845"/>
          <c:h val="0.77352538636764734"/>
        </c:manualLayout>
      </c:layout>
      <c:barChart>
        <c:barDir val="col"/>
        <c:grouping val="clustered"/>
        <c:varyColors val="0"/>
        <c:ser>
          <c:idx val="1"/>
          <c:order val="0"/>
          <c:tx>
            <c:strRef>
              <c:f>Berechnungen!$G$2:$G$3</c:f>
              <c:strCache>
                <c:ptCount val="2"/>
                <c:pt idx="0">
                  <c:v>Kapitalwert</c:v>
                </c:pt>
                <c:pt idx="1">
                  <c:v>[€]</c:v>
                </c:pt>
              </c:strCache>
            </c:strRef>
          </c:tx>
          <c:spPr>
            <a:solidFill>
              <a:srgbClr val="00963F"/>
            </a:solidFill>
            <a:ln w="25400">
              <a:noFill/>
            </a:ln>
          </c:spPr>
          <c:invertIfNegative val="1"/>
          <c:cat>
            <c:numRef>
              <c:f>Berechnungen!$B$4:$B$16</c:f>
              <c:numCache>
                <c:formatCode>#,##0</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Berechnungen!$G$4:$G$16</c:f>
              <c:numCache>
                <c:formatCode>#,##0</c:formatCode>
                <c:ptCount val="13"/>
                <c:pt idx="0">
                  <c:v>-4630</c:v>
                </c:pt>
                <c:pt idx="1">
                  <c:v>-3666.3427713159231</c:v>
                </c:pt>
                <c:pt idx="2">
                  <c:v>-2721.810726328099</c:v>
                </c:pt>
                <c:pt idx="3">
                  <c:v>-1795.9003660858602</c:v>
                </c:pt>
                <c:pt idx="4">
                  <c:v>-888.12288210559927</c:v>
                </c:pt>
                <c:pt idx="5">
                  <c:v>1.9962810617338391</c:v>
                </c:pt>
                <c:pt idx="6">
                  <c:v>874.91785025861805</c:v>
                </c:pt>
                <c:pt idx="7">
                  <c:v>1731.0891355292388</c:v>
                </c:pt>
                <c:pt idx="8">
                  <c:v>2570.9444296815223</c:v>
                </c:pt>
                <c:pt idx="9">
                  <c:v>1865.0822227362044</c:v>
                </c:pt>
                <c:pt idx="10">
                  <c:v>2673.558270989739</c:v>
                </c:pt>
                <c:pt idx="11">
                  <c:v>3466.9469225948392</c:v>
                </c:pt>
                <c:pt idx="12">
                  <c:v>4245.6341645734374</c:v>
                </c:pt>
              </c:numCache>
            </c:numRef>
          </c:val>
          <c:extLst>
            <c:ext xmlns:c14="http://schemas.microsoft.com/office/drawing/2007/8/2/chart" uri="{6F2FDCE9-48DA-4B69-8628-5D25D57E5C99}">
              <c14:invertSolidFillFmt>
                <c14:spPr xmlns:c14="http://schemas.microsoft.com/office/drawing/2007/8/2/chart">
                  <a:solidFill>
                    <a:srgbClr val="71706C"/>
                  </a:solidFill>
                  <a:ln w="25400">
                    <a:noFill/>
                  </a:ln>
                </c14:spPr>
              </c14:invertSolidFillFmt>
            </c:ext>
            <c:ext xmlns:c16="http://schemas.microsoft.com/office/drawing/2014/chart" uri="{C3380CC4-5D6E-409C-BE32-E72D297353CC}">
              <c16:uniqueId val="{00000000-F736-4F3A-8C26-234DBCE25463}"/>
            </c:ext>
          </c:extLst>
        </c:ser>
        <c:dLbls>
          <c:showLegendKey val="0"/>
          <c:showVal val="0"/>
          <c:showCatName val="0"/>
          <c:showSerName val="0"/>
          <c:showPercent val="0"/>
          <c:showBubbleSize val="0"/>
        </c:dLbls>
        <c:gapWidth val="125"/>
        <c:axId val="86812928"/>
        <c:axId val="86815104"/>
      </c:barChart>
      <c:lineChart>
        <c:grouping val="standard"/>
        <c:varyColors val="0"/>
        <c:ser>
          <c:idx val="0"/>
          <c:order val="1"/>
          <c:tx>
            <c:strRef>
              <c:f>Berechnungen!$G$2:$G$3</c:f>
              <c:strCache>
                <c:ptCount val="2"/>
                <c:pt idx="0">
                  <c:v>Kapitalwert</c:v>
                </c:pt>
                <c:pt idx="1">
                  <c:v>[€]</c:v>
                </c:pt>
              </c:strCache>
            </c:strRef>
          </c:tx>
          <c:spPr>
            <a:ln w="12700">
              <a:solidFill>
                <a:srgbClr val="71706C"/>
              </a:solidFill>
              <a:prstDash val="solid"/>
            </a:ln>
          </c:spPr>
          <c:marker>
            <c:symbol val="none"/>
          </c:marker>
          <c:val>
            <c:numRef>
              <c:f>Berechnungen!$G$4:$G$16</c:f>
              <c:numCache>
                <c:formatCode>#,##0</c:formatCode>
                <c:ptCount val="13"/>
                <c:pt idx="0">
                  <c:v>-4630</c:v>
                </c:pt>
                <c:pt idx="1">
                  <c:v>-3666.3427713159231</c:v>
                </c:pt>
                <c:pt idx="2">
                  <c:v>-2721.810726328099</c:v>
                </c:pt>
                <c:pt idx="3">
                  <c:v>-1795.9003660858602</c:v>
                </c:pt>
                <c:pt idx="4">
                  <c:v>-888.12288210559927</c:v>
                </c:pt>
                <c:pt idx="5">
                  <c:v>1.9962810617338391</c:v>
                </c:pt>
                <c:pt idx="6">
                  <c:v>874.91785025861805</c:v>
                </c:pt>
                <c:pt idx="7">
                  <c:v>1731.0891355292388</c:v>
                </c:pt>
                <c:pt idx="8">
                  <c:v>2570.9444296815223</c:v>
                </c:pt>
                <c:pt idx="9">
                  <c:v>1865.0822227362044</c:v>
                </c:pt>
                <c:pt idx="10">
                  <c:v>2673.558270989739</c:v>
                </c:pt>
                <c:pt idx="11">
                  <c:v>3466.9469225948392</c:v>
                </c:pt>
                <c:pt idx="12">
                  <c:v>4245.6341645734374</c:v>
                </c:pt>
              </c:numCache>
            </c:numRef>
          </c:val>
          <c:smooth val="1"/>
          <c:extLst>
            <c:ext xmlns:c16="http://schemas.microsoft.com/office/drawing/2014/chart" uri="{C3380CC4-5D6E-409C-BE32-E72D297353CC}">
              <c16:uniqueId val="{00000001-F736-4F3A-8C26-234DBCE25463}"/>
            </c:ext>
          </c:extLst>
        </c:ser>
        <c:dLbls>
          <c:showLegendKey val="0"/>
          <c:showVal val="0"/>
          <c:showCatName val="0"/>
          <c:showSerName val="0"/>
          <c:showPercent val="0"/>
          <c:showBubbleSize val="0"/>
        </c:dLbls>
        <c:marker val="1"/>
        <c:smooth val="0"/>
        <c:axId val="86817024"/>
        <c:axId val="86818816"/>
      </c:lineChart>
      <c:catAx>
        <c:axId val="86812928"/>
        <c:scaling>
          <c:orientation val="minMax"/>
        </c:scaling>
        <c:delete val="0"/>
        <c:axPos val="b"/>
        <c:majorGridlines>
          <c:spPr>
            <a:ln w="3175">
              <a:solidFill>
                <a:srgbClr val="00000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3410110277940293"/>
              <c:y val="0.9215948045633634"/>
            </c:manualLayout>
          </c:layout>
          <c:overlay val="0"/>
          <c:spPr>
            <a:noFill/>
            <a:ln w="25400">
              <a:noFill/>
            </a:ln>
          </c:spPr>
        </c:title>
        <c:numFmt formatCode="#,##0" sourceLinked="1"/>
        <c:majorTickMark val="cross"/>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de-DE"/>
          </a:p>
        </c:txPr>
        <c:crossAx val="86815104"/>
        <c:crosses val="autoZero"/>
        <c:auto val="0"/>
        <c:lblAlgn val="ctr"/>
        <c:lblOffset val="100"/>
        <c:tickLblSkip val="1"/>
        <c:tickMarkSkip val="1"/>
        <c:noMultiLvlLbl val="0"/>
      </c:catAx>
      <c:valAx>
        <c:axId val="86815104"/>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1.3954505686789153E-3"/>
              <c:y val="0.42610911234006976"/>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de-DE"/>
          </a:p>
        </c:txPr>
        <c:crossAx val="86812928"/>
        <c:crosses val="autoZero"/>
        <c:crossBetween val="between"/>
      </c:valAx>
      <c:catAx>
        <c:axId val="86817024"/>
        <c:scaling>
          <c:orientation val="minMax"/>
        </c:scaling>
        <c:delete val="1"/>
        <c:axPos val="b"/>
        <c:majorTickMark val="out"/>
        <c:minorTickMark val="none"/>
        <c:tickLblPos val="nextTo"/>
        <c:crossAx val="86818816"/>
        <c:crosses val="autoZero"/>
        <c:auto val="0"/>
        <c:lblAlgn val="ctr"/>
        <c:lblOffset val="100"/>
        <c:noMultiLvlLbl val="0"/>
      </c:catAx>
      <c:valAx>
        <c:axId val="86818816"/>
        <c:scaling>
          <c:orientation val="minMax"/>
        </c:scaling>
        <c:delete val="1"/>
        <c:axPos val="l"/>
        <c:numFmt formatCode="#,##0" sourceLinked="1"/>
        <c:majorTickMark val="out"/>
        <c:minorTickMark val="none"/>
        <c:tickLblPos val="nextTo"/>
        <c:crossAx val="86817024"/>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11196131044267"/>
          <c:y val="7.1110584515208103E-2"/>
          <c:w val="0.84482033654087274"/>
          <c:h val="0.73483310136055313"/>
        </c:manualLayout>
      </c:layout>
      <c:barChart>
        <c:barDir val="col"/>
        <c:grouping val="clustered"/>
        <c:varyColors val="0"/>
        <c:ser>
          <c:idx val="0"/>
          <c:order val="0"/>
          <c:tx>
            <c:strRef>
              <c:f>Berechnungen!$F$2:$F$3</c:f>
              <c:strCache>
                <c:ptCount val="2"/>
                <c:pt idx="0">
                  <c:v>Barwerte</c:v>
                </c:pt>
                <c:pt idx="1">
                  <c:v>[€]</c:v>
                </c:pt>
              </c:strCache>
            </c:strRef>
          </c:tx>
          <c:spPr>
            <a:solidFill>
              <a:srgbClr val="00963F"/>
            </a:solidFill>
            <a:ln>
              <a:noFill/>
            </a:ln>
          </c:spPr>
          <c:invertIfNegative val="1"/>
          <c:val>
            <c:numRef>
              <c:f>Berechnungen!$F$5:$F$16</c:f>
              <c:numCache>
                <c:formatCode>#,##0</c:formatCode>
                <c:ptCount val="12"/>
                <c:pt idx="0">
                  <c:v>963.65722868407681</c:v>
                </c:pt>
                <c:pt idx="1">
                  <c:v>944.53204498782407</c:v>
                </c:pt>
                <c:pt idx="2">
                  <c:v>925.91036024223888</c:v>
                </c:pt>
                <c:pt idx="3">
                  <c:v>907.77748398026097</c:v>
                </c:pt>
                <c:pt idx="4">
                  <c:v>890.11916316733311</c:v>
                </c:pt>
                <c:pt idx="5">
                  <c:v>872.92156919688421</c:v>
                </c:pt>
                <c:pt idx="6">
                  <c:v>856.17128527062073</c:v>
                </c:pt>
                <c:pt idx="7">
                  <c:v>839.85529415228336</c:v>
                </c:pt>
                <c:pt idx="8">
                  <c:v>-705.86220694531789</c:v>
                </c:pt>
                <c:pt idx="9">
                  <c:v>808.4760482535346</c:v>
                </c:pt>
                <c:pt idx="10">
                  <c:v>793.38865160510034</c:v>
                </c:pt>
                <c:pt idx="11">
                  <c:v>778.68724197859865</c:v>
                </c:pt>
              </c:numCache>
            </c:numRef>
          </c:val>
          <c:extLst>
            <c:ext xmlns:c14="http://schemas.microsoft.com/office/drawing/2007/8/2/chart" uri="{6F2FDCE9-48DA-4B69-8628-5D25D57E5C99}">
              <c14:invertSolidFillFmt>
                <c14:spPr xmlns:c14="http://schemas.microsoft.com/office/drawing/2007/8/2/chart">
                  <a:solidFill>
                    <a:srgbClr val="71706C"/>
                  </a:solidFill>
                  <a:ln>
                    <a:noFill/>
                  </a:ln>
                </c14:spPr>
              </c14:invertSolidFillFmt>
            </c:ext>
            <c:ext xmlns:c16="http://schemas.microsoft.com/office/drawing/2014/chart" uri="{C3380CC4-5D6E-409C-BE32-E72D297353CC}">
              <c16:uniqueId val="{00000000-2189-4EC7-8D90-576C60606AB6}"/>
            </c:ext>
          </c:extLst>
        </c:ser>
        <c:dLbls>
          <c:showLegendKey val="0"/>
          <c:showVal val="0"/>
          <c:showCatName val="0"/>
          <c:showSerName val="0"/>
          <c:showPercent val="0"/>
          <c:showBubbleSize val="0"/>
        </c:dLbls>
        <c:gapWidth val="125"/>
        <c:axId val="87037056"/>
        <c:axId val="87038976"/>
      </c:barChart>
      <c:lineChart>
        <c:grouping val="standard"/>
        <c:varyColors val="0"/>
        <c:ser>
          <c:idx val="1"/>
          <c:order val="1"/>
          <c:spPr>
            <a:ln w="12700">
              <a:solidFill>
                <a:srgbClr val="71706C"/>
              </a:solidFill>
            </a:ln>
          </c:spPr>
          <c:marker>
            <c:symbol val="none"/>
          </c:marker>
          <c:val>
            <c:numRef>
              <c:f>Berechnungen!$F$5:$F$16</c:f>
              <c:numCache>
                <c:formatCode>#,##0</c:formatCode>
                <c:ptCount val="12"/>
                <c:pt idx="0">
                  <c:v>963.65722868407681</c:v>
                </c:pt>
                <c:pt idx="1">
                  <c:v>944.53204498782407</c:v>
                </c:pt>
                <c:pt idx="2">
                  <c:v>925.91036024223888</c:v>
                </c:pt>
                <c:pt idx="3">
                  <c:v>907.77748398026097</c:v>
                </c:pt>
                <c:pt idx="4">
                  <c:v>890.11916316733311</c:v>
                </c:pt>
                <c:pt idx="5">
                  <c:v>872.92156919688421</c:v>
                </c:pt>
                <c:pt idx="6">
                  <c:v>856.17128527062073</c:v>
                </c:pt>
                <c:pt idx="7">
                  <c:v>839.85529415228336</c:v>
                </c:pt>
                <c:pt idx="8">
                  <c:v>-705.86220694531789</c:v>
                </c:pt>
                <c:pt idx="9">
                  <c:v>808.4760482535346</c:v>
                </c:pt>
                <c:pt idx="10">
                  <c:v>793.38865160510034</c:v>
                </c:pt>
                <c:pt idx="11">
                  <c:v>778.68724197859865</c:v>
                </c:pt>
              </c:numCache>
            </c:numRef>
          </c:val>
          <c:smooth val="0"/>
          <c:extLst>
            <c:ext xmlns:c16="http://schemas.microsoft.com/office/drawing/2014/chart" uri="{C3380CC4-5D6E-409C-BE32-E72D297353CC}">
              <c16:uniqueId val="{00000001-2189-4EC7-8D90-576C60606AB6}"/>
            </c:ext>
          </c:extLst>
        </c:ser>
        <c:dLbls>
          <c:showLegendKey val="0"/>
          <c:showVal val="0"/>
          <c:showCatName val="0"/>
          <c:showSerName val="0"/>
          <c:showPercent val="0"/>
          <c:showBubbleSize val="0"/>
        </c:dLbls>
        <c:marker val="1"/>
        <c:smooth val="0"/>
        <c:axId val="87037056"/>
        <c:axId val="87038976"/>
      </c:lineChart>
      <c:catAx>
        <c:axId val="87037056"/>
        <c:scaling>
          <c:orientation val="minMax"/>
        </c:scaling>
        <c:delete val="0"/>
        <c:axPos val="b"/>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028707349081365"/>
              <c:y val="0.92142129961027597"/>
            </c:manualLayout>
          </c:layout>
          <c:overlay val="0"/>
        </c:title>
        <c:numFmt formatCode="General" sourceLinked="1"/>
        <c:majorTickMark val="out"/>
        <c:minorTickMark val="none"/>
        <c:tickLblPos val="low"/>
        <c:spPr>
          <a:ln>
            <a:solidFill>
              <a:schemeClr val="tx1"/>
            </a:solidFill>
            <a:prstDash val="solid"/>
          </a:ln>
        </c:spPr>
        <c:txPr>
          <a:bodyPr rot="0" vert="horz"/>
          <a:lstStyle/>
          <a:p>
            <a:pPr>
              <a:defRPr sz="900" b="0" i="0" u="none" strike="noStrike" baseline="0">
                <a:solidFill>
                  <a:srgbClr val="000000"/>
                </a:solidFill>
                <a:latin typeface="Calibri"/>
                <a:ea typeface="Calibri"/>
                <a:cs typeface="Calibri"/>
              </a:defRPr>
            </a:pPr>
            <a:endParaRPr lang="de-DE"/>
          </a:p>
        </c:txPr>
        <c:crossAx val="87038976"/>
        <c:crosses val="autoZero"/>
        <c:auto val="1"/>
        <c:lblAlgn val="ctr"/>
        <c:lblOffset val="100"/>
        <c:noMultiLvlLbl val="0"/>
      </c:catAx>
      <c:valAx>
        <c:axId val="87038976"/>
        <c:scaling>
          <c:orientation val="minMax"/>
        </c:scaling>
        <c:delete val="0"/>
        <c:axPos val="l"/>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8.6239220097487814E-5"/>
              <c:y val="0.40104788037858907"/>
            </c:manualLayout>
          </c:layout>
          <c:overlay val="0"/>
        </c:title>
        <c:numFmt formatCode="#,##0" sourceLinked="1"/>
        <c:majorTickMark val="out"/>
        <c:minorTickMark val="none"/>
        <c:tickLblPos val="nextTo"/>
        <c:spPr>
          <a:ln>
            <a:solidFill>
              <a:schemeClr val="tx1"/>
            </a:solidFill>
          </a:ln>
        </c:spPr>
        <c:txPr>
          <a:bodyPr rot="0" vert="horz"/>
          <a:lstStyle/>
          <a:p>
            <a:pPr>
              <a:defRPr sz="900" b="0" i="0" u="none" strike="noStrike" baseline="0">
                <a:solidFill>
                  <a:srgbClr val="000000"/>
                </a:solidFill>
                <a:latin typeface="Calibri"/>
                <a:ea typeface="Calibri"/>
                <a:cs typeface="Calibri"/>
              </a:defRPr>
            </a:pPr>
            <a:endParaRPr lang="de-DE"/>
          </a:p>
        </c:txPr>
        <c:crossAx val="87037056"/>
        <c:crosses val="autoZero"/>
        <c:crossBetween val="between"/>
      </c:valAx>
      <c:spPr>
        <a:ln w="6350">
          <a:noFill/>
        </a:ln>
        <a:effectLst/>
      </c:spPr>
    </c:plotArea>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87564924675068"/>
          <c:y val="0.16733390821208727"/>
          <c:w val="0.74225327084974402"/>
          <c:h val="0.58339404594411892"/>
        </c:manualLayout>
      </c:layout>
      <c:barChart>
        <c:barDir val="bar"/>
        <c:grouping val="clustered"/>
        <c:varyColors val="0"/>
        <c:ser>
          <c:idx val="0"/>
          <c:order val="0"/>
          <c:tx>
            <c:strRef>
              <c:f>Eingabe!$AF$37</c:f>
              <c:strCache>
                <c:ptCount val="1"/>
                <c:pt idx="0">
                  <c:v>Elektrofahrzeug</c:v>
                </c:pt>
              </c:strCache>
            </c:strRef>
          </c:tx>
          <c:spPr>
            <a:solidFill>
              <a:srgbClr val="00963F"/>
            </a:solidFill>
          </c:spPr>
          <c:invertIfNegative val="0"/>
          <c:dLbls>
            <c:spPr>
              <a:noFill/>
              <a:ln>
                <a:noFill/>
              </a:ln>
              <a:effectLst/>
            </c:spPr>
            <c:txPr>
              <a:bodyPr/>
              <a:lstStyle/>
              <a:p>
                <a:pPr>
                  <a:defRPr sz="900">
                    <a:solidFill>
                      <a:schemeClr val="bg1"/>
                    </a:solidFil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Eingabe!$AE$42</c:f>
              <c:strCache>
                <c:ptCount val="1"/>
                <c:pt idx="0">
                  <c:v>Vollkosten [€/km]</c:v>
                </c:pt>
              </c:strCache>
            </c:strRef>
          </c:cat>
          <c:val>
            <c:numRef>
              <c:f>Eingabe!$AF$42</c:f>
              <c:numCache>
                <c:formatCode>0.000</c:formatCode>
                <c:ptCount val="1"/>
                <c:pt idx="0">
                  <c:v>0.28454897243107768</c:v>
                </c:pt>
              </c:numCache>
            </c:numRef>
          </c:val>
          <c:extLst>
            <c:ext xmlns:c16="http://schemas.microsoft.com/office/drawing/2014/chart" uri="{C3380CC4-5D6E-409C-BE32-E72D297353CC}">
              <c16:uniqueId val="{00000000-CF69-4428-90A4-90B84C08022E}"/>
            </c:ext>
          </c:extLst>
        </c:ser>
        <c:ser>
          <c:idx val="1"/>
          <c:order val="1"/>
          <c:tx>
            <c:strRef>
              <c:f>Eingabe!$AG$37</c:f>
              <c:strCache>
                <c:ptCount val="1"/>
                <c:pt idx="0">
                  <c:v>Verbrennungs-Kfz</c:v>
                </c:pt>
              </c:strCache>
            </c:strRef>
          </c:tx>
          <c:spPr>
            <a:solidFill>
              <a:srgbClr val="71706C"/>
            </a:solidFill>
          </c:spPr>
          <c:invertIfNegative val="0"/>
          <c:dLbls>
            <c:spPr>
              <a:noFill/>
              <a:ln>
                <a:noFill/>
              </a:ln>
              <a:effectLst/>
            </c:spPr>
            <c:txPr>
              <a:bodyPr/>
              <a:lstStyle/>
              <a:p>
                <a:pPr>
                  <a:defRPr sz="900">
                    <a:solidFill>
                      <a:schemeClr val="bg1"/>
                    </a:solidFil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Eingabe!$AE$42</c:f>
              <c:strCache>
                <c:ptCount val="1"/>
                <c:pt idx="0">
                  <c:v>Vollkosten [€/km]</c:v>
                </c:pt>
              </c:strCache>
            </c:strRef>
          </c:cat>
          <c:val>
            <c:numRef>
              <c:f>Eingabe!$AG$42</c:f>
              <c:numCache>
                <c:formatCode>0.000</c:formatCode>
                <c:ptCount val="1"/>
                <c:pt idx="0">
                  <c:v>0.31532047619047621</c:v>
                </c:pt>
              </c:numCache>
            </c:numRef>
          </c:val>
          <c:extLst>
            <c:ext xmlns:c16="http://schemas.microsoft.com/office/drawing/2014/chart" uri="{C3380CC4-5D6E-409C-BE32-E72D297353CC}">
              <c16:uniqueId val="{00000001-CF69-4428-90A4-90B84C08022E}"/>
            </c:ext>
          </c:extLst>
        </c:ser>
        <c:dLbls>
          <c:showLegendKey val="0"/>
          <c:showVal val="0"/>
          <c:showCatName val="0"/>
          <c:showSerName val="0"/>
          <c:showPercent val="0"/>
          <c:showBubbleSize val="0"/>
        </c:dLbls>
        <c:gapWidth val="65"/>
        <c:axId val="87070976"/>
        <c:axId val="87081344"/>
      </c:barChart>
      <c:catAx>
        <c:axId val="87070976"/>
        <c:scaling>
          <c:orientation val="minMax"/>
        </c:scaling>
        <c:delete val="0"/>
        <c:axPos val="l"/>
        <c:title>
          <c:tx>
            <c:rich>
              <a:bodyPr rot="0" vert="horz"/>
              <a:lstStyle/>
              <a:p>
                <a:pPr>
                  <a:defRPr sz="900" b="0"/>
                </a:pPr>
                <a:r>
                  <a:rPr lang="en-US" sz="900" b="0"/>
                  <a:t>Verbrennungs-Kfz
Elektrofahrzeug</a:t>
                </a:r>
              </a:p>
            </c:rich>
          </c:tx>
          <c:layout>
            <c:manualLayout>
              <c:xMode val="edge"/>
              <c:yMode val="edge"/>
              <c:x val="1.112003817781048E-2"/>
              <c:y val="0.26717923043418346"/>
            </c:manualLayout>
          </c:layout>
          <c:overlay val="0"/>
        </c:title>
        <c:numFmt formatCode="General" sourceLinked="0"/>
        <c:majorTickMark val="none"/>
        <c:minorTickMark val="none"/>
        <c:tickLblPos val="none"/>
        <c:crossAx val="87081344"/>
        <c:crosses val="autoZero"/>
        <c:auto val="1"/>
        <c:lblAlgn val="ctr"/>
        <c:lblOffset val="100"/>
        <c:noMultiLvlLbl val="0"/>
      </c:catAx>
      <c:valAx>
        <c:axId val="87081344"/>
        <c:scaling>
          <c:orientation val="minMax"/>
        </c:scaling>
        <c:delete val="0"/>
        <c:axPos val="b"/>
        <c:minorGridlines>
          <c:spPr>
            <a:ln>
              <a:prstDash val="sysDash"/>
            </a:ln>
          </c:spPr>
        </c:minorGridlines>
        <c:title>
          <c:tx>
            <c:rich>
              <a:bodyPr/>
              <a:lstStyle/>
              <a:p>
                <a:pPr>
                  <a:defRPr sz="900" b="0"/>
                </a:pPr>
                <a:r>
                  <a:rPr lang="en-US" sz="900" b="0"/>
                  <a:t>Kosten in [€/km]</a:t>
                </a:r>
              </a:p>
            </c:rich>
          </c:tx>
          <c:layout/>
          <c:overlay val="0"/>
        </c:title>
        <c:numFmt formatCode="0.000" sourceLinked="1"/>
        <c:majorTickMark val="out"/>
        <c:minorTickMark val="none"/>
        <c:tickLblPos val="nextTo"/>
        <c:txPr>
          <a:bodyPr/>
          <a:lstStyle/>
          <a:p>
            <a:pPr>
              <a:defRPr sz="900"/>
            </a:pPr>
            <a:endParaRPr lang="de-DE"/>
          </a:p>
        </c:txPr>
        <c:crossAx val="87070976"/>
        <c:crosses val="autoZero"/>
        <c:crossBetween val="between"/>
      </c:valAx>
    </c:plotArea>
    <c:plotVisOnly val="1"/>
    <c:dispBlanksAs val="gap"/>
    <c:showDLblsOverMax val="0"/>
  </c:chart>
  <c:spPr>
    <a:solidFill>
      <a:schemeClr val="bg1">
        <a:lumMod val="75000"/>
      </a:schemeClr>
    </a:solidFill>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8966211239406"/>
          <c:y val="4.9017746953816201E-2"/>
          <c:w val="0.86485948149761915"/>
          <c:h val="0.84037892614416576"/>
        </c:manualLayout>
      </c:layout>
      <c:lineChart>
        <c:grouping val="standard"/>
        <c:varyColors val="0"/>
        <c:ser>
          <c:idx val="0"/>
          <c:order val="0"/>
          <c:tx>
            <c:strRef>
              <c:f>Berechnungen!$C$25:$C$26</c:f>
              <c:strCache>
                <c:ptCount val="2"/>
                <c:pt idx="0">
                  <c:v>Strom</c:v>
                </c:pt>
                <c:pt idx="1">
                  <c:v>[€]</c:v>
                </c:pt>
              </c:strCache>
            </c:strRef>
          </c:tx>
          <c:spPr>
            <a:ln>
              <a:solidFill>
                <a:srgbClr val="00963F"/>
              </a:solidFill>
            </a:ln>
          </c:spPr>
          <c:marker>
            <c:symbol val="none"/>
          </c:marker>
          <c:val>
            <c:numRef>
              <c:f>Berechnungen!$F$27:$F$38</c:f>
              <c:numCache>
                <c:formatCode>0%</c:formatCode>
                <c:ptCount val="12"/>
                <c:pt idx="0">
                  <c:v>1</c:v>
                </c:pt>
                <c:pt idx="1">
                  <c:v>1.0149999999999999</c:v>
                </c:pt>
                <c:pt idx="2">
                  <c:v>1.0302249999999997</c:v>
                </c:pt>
                <c:pt idx="3">
                  <c:v>1.0456783749999996</c:v>
                </c:pt>
                <c:pt idx="4">
                  <c:v>1.0613635506249994</c:v>
                </c:pt>
                <c:pt idx="5">
                  <c:v>1.0772840038843743</c:v>
                </c:pt>
                <c:pt idx="6">
                  <c:v>1.0934432639426397</c:v>
                </c:pt>
                <c:pt idx="7">
                  <c:v>1.1098449129017791</c:v>
                </c:pt>
                <c:pt idx="8">
                  <c:v>1.1264925865953057</c:v>
                </c:pt>
                <c:pt idx="9">
                  <c:v>1.1433899753942351</c:v>
                </c:pt>
                <c:pt idx="10">
                  <c:v>1.1605408250251485</c:v>
                </c:pt>
                <c:pt idx="11">
                  <c:v>1.1779489374005254</c:v>
                </c:pt>
              </c:numCache>
            </c:numRef>
          </c:val>
          <c:smooth val="0"/>
          <c:extLst>
            <c:ext xmlns:c16="http://schemas.microsoft.com/office/drawing/2014/chart" uri="{C3380CC4-5D6E-409C-BE32-E72D297353CC}">
              <c16:uniqueId val="{00000000-4957-41B4-8F9B-753B4F65B056}"/>
            </c:ext>
          </c:extLst>
        </c:ser>
        <c:ser>
          <c:idx val="1"/>
          <c:order val="1"/>
          <c:tx>
            <c:strRef>
              <c:f>Berechnungen!$D$25:$D$26</c:f>
              <c:strCache>
                <c:ptCount val="2"/>
                <c:pt idx="0">
                  <c:v>Benzin-/Diesel</c:v>
                </c:pt>
                <c:pt idx="1">
                  <c:v>[€]</c:v>
                </c:pt>
              </c:strCache>
            </c:strRef>
          </c:tx>
          <c:spPr>
            <a:ln>
              <a:solidFill>
                <a:srgbClr val="71706C"/>
              </a:solidFill>
            </a:ln>
          </c:spPr>
          <c:marker>
            <c:symbol val="none"/>
          </c:marker>
          <c:val>
            <c:numRef>
              <c:f>Berechnungen!$G$27:$G$38</c:f>
              <c:numCache>
                <c:formatCode>0%</c:formatCode>
                <c:ptCount val="12"/>
                <c:pt idx="0">
                  <c:v>1</c:v>
                </c:pt>
                <c:pt idx="1">
                  <c:v>1.0199999999999998</c:v>
                </c:pt>
                <c:pt idx="2">
                  <c:v>1.0403999999999998</c:v>
                </c:pt>
                <c:pt idx="3">
                  <c:v>1.0612079999999999</c:v>
                </c:pt>
                <c:pt idx="4">
                  <c:v>1.08243216</c:v>
                </c:pt>
                <c:pt idx="5">
                  <c:v>1.1040808032</c:v>
                </c:pt>
                <c:pt idx="6">
                  <c:v>1.1261624192639996</c:v>
                </c:pt>
                <c:pt idx="7">
                  <c:v>1.1486856676492798</c:v>
                </c:pt>
                <c:pt idx="8">
                  <c:v>1.1716593810022655</c:v>
                </c:pt>
                <c:pt idx="9">
                  <c:v>1.1950925686223108</c:v>
                </c:pt>
                <c:pt idx="10">
                  <c:v>1.2189944199947567</c:v>
                </c:pt>
                <c:pt idx="11">
                  <c:v>1.2433743083946522</c:v>
                </c:pt>
              </c:numCache>
            </c:numRef>
          </c:val>
          <c:smooth val="0"/>
          <c:extLst>
            <c:ext xmlns:c16="http://schemas.microsoft.com/office/drawing/2014/chart" uri="{C3380CC4-5D6E-409C-BE32-E72D297353CC}">
              <c16:uniqueId val="{00000001-4957-41B4-8F9B-753B4F65B056}"/>
            </c:ext>
          </c:extLst>
        </c:ser>
        <c:dLbls>
          <c:showLegendKey val="0"/>
          <c:showVal val="0"/>
          <c:showCatName val="0"/>
          <c:showSerName val="0"/>
          <c:showPercent val="0"/>
          <c:showBubbleSize val="0"/>
        </c:dLbls>
        <c:smooth val="0"/>
        <c:axId val="89843200"/>
        <c:axId val="89844736"/>
      </c:lineChart>
      <c:catAx>
        <c:axId val="89843200"/>
        <c:scaling>
          <c:orientation val="minMax"/>
        </c:scaling>
        <c:delete val="0"/>
        <c:axPos val="b"/>
        <c:majorTickMark val="out"/>
        <c:minorTickMark val="none"/>
        <c:tickLblPos val="nextTo"/>
        <c:crossAx val="89844736"/>
        <c:crosses val="autoZero"/>
        <c:auto val="1"/>
        <c:lblAlgn val="ctr"/>
        <c:lblOffset val="100"/>
        <c:noMultiLvlLbl val="0"/>
      </c:catAx>
      <c:valAx>
        <c:axId val="89844736"/>
        <c:scaling>
          <c:orientation val="minMax"/>
          <c:min val="0.8"/>
        </c:scaling>
        <c:delete val="0"/>
        <c:axPos val="l"/>
        <c:majorGridlines/>
        <c:numFmt formatCode="0%" sourceLinked="1"/>
        <c:majorTickMark val="out"/>
        <c:minorTickMark val="none"/>
        <c:tickLblPos val="nextTo"/>
        <c:crossAx val="89843200"/>
        <c:crosses val="autoZero"/>
        <c:crossBetween val="between"/>
      </c:valAx>
    </c:plotArea>
    <c:legend>
      <c:legendPos val="r"/>
      <c:layout>
        <c:manualLayout>
          <c:xMode val="edge"/>
          <c:yMode val="edge"/>
          <c:x val="0.1221343873517787"/>
          <c:y val="9.7867932071404984E-2"/>
          <c:w val="0.2691699604743083"/>
          <c:h val="0.15967252437816135"/>
        </c:manualLayout>
      </c:layout>
      <c:overlay val="0"/>
      <c:spPr>
        <a:solidFill>
          <a:schemeClr val="bg1"/>
        </a:solidFill>
      </c:spPr>
    </c:legend>
    <c:plotVisOnly val="1"/>
    <c:dispBlanksAs val="gap"/>
    <c:showDLblsOverMax val="0"/>
  </c:chart>
  <c:spPr>
    <a:ln>
      <a:solidFill>
        <a:srgbClr val="71706C"/>
      </a:solid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647031440113E-2"/>
          <c:y val="5.0290182893139974E-2"/>
          <c:w val="0.76573513728230769"/>
          <c:h val="0.86267006039770877"/>
        </c:manualLayout>
      </c:layout>
      <c:lineChart>
        <c:grouping val="standard"/>
        <c:varyColors val="0"/>
        <c:ser>
          <c:idx val="0"/>
          <c:order val="0"/>
          <c:spPr>
            <a:ln w="25400">
              <a:solidFill>
                <a:srgbClr val="000080"/>
              </a:solidFill>
              <a:prstDash val="solid"/>
            </a:ln>
          </c:spPr>
          <c:marker>
            <c:symbol val="none"/>
          </c:marker>
          <c:trendline>
            <c:spPr>
              <a:ln w="25400">
                <a:solidFill>
                  <a:srgbClr val="000000"/>
                </a:solidFill>
                <a:prstDash val="solid"/>
              </a:ln>
            </c:spPr>
            <c:trendlineType val="linear"/>
            <c:dispRSqr val="0"/>
            <c:dispEq val="1"/>
            <c:trendlineLbl>
              <c:layout>
                <c:manualLayout>
                  <c:xMode val="edge"/>
                  <c:yMode val="edge"/>
                  <c:x val="0.84615480923433084"/>
                  <c:y val="0.22437158521554756"/>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trendlineLbl>
          </c:trendline>
          <c:val>
            <c:numRef>
              <c:f>Strompreis!$B$55:$CI$55</c:f>
              <c:numCache>
                <c:formatCode>0.00</c:formatCode>
                <c:ptCount val="86"/>
                <c:pt idx="0">
                  <c:v>14.653040816326527</c:v>
                </c:pt>
                <c:pt idx="1">
                  <c:v>14.660448979591834</c:v>
                </c:pt>
                <c:pt idx="2">
                  <c:v>14.667163265306119</c:v>
                </c:pt>
                <c:pt idx="3">
                  <c:v>14.547257142857145</c:v>
                </c:pt>
                <c:pt idx="4">
                  <c:v>14.43962448979592</c:v>
                </c:pt>
                <c:pt idx="5">
                  <c:v>14.399632653061227</c:v>
                </c:pt>
                <c:pt idx="6">
                  <c:v>14.391502040816325</c:v>
                </c:pt>
                <c:pt idx="7">
                  <c:v>14.41618775510204</c:v>
                </c:pt>
                <c:pt idx="8">
                  <c:v>14.417363265306124</c:v>
                </c:pt>
                <c:pt idx="9">
                  <c:v>14.429608163265311</c:v>
                </c:pt>
                <c:pt idx="10">
                  <c:v>14.429608163265311</c:v>
                </c:pt>
                <c:pt idx="11">
                  <c:v>14.429608163265311</c:v>
                </c:pt>
                <c:pt idx="12">
                  <c:v>14.722726530612245</c:v>
                </c:pt>
                <c:pt idx="13">
                  <c:v>14.679159183673468</c:v>
                </c:pt>
                <c:pt idx="14">
                  <c:v>14.699314285714285</c:v>
                </c:pt>
                <c:pt idx="15">
                  <c:v>14.71545306122449</c:v>
                </c:pt>
                <c:pt idx="16">
                  <c:v>14.706636734693877</c:v>
                </c:pt>
                <c:pt idx="17">
                  <c:v>14.706636734693877</c:v>
                </c:pt>
                <c:pt idx="18">
                  <c:v>14.706636734693877</c:v>
                </c:pt>
                <c:pt idx="19">
                  <c:v>14.706636734693877</c:v>
                </c:pt>
                <c:pt idx="20">
                  <c:v>14.706636734693877</c:v>
                </c:pt>
                <c:pt idx="21">
                  <c:v>14.706636734693877</c:v>
                </c:pt>
                <c:pt idx="22">
                  <c:v>14.438253061224488</c:v>
                </c:pt>
                <c:pt idx="23">
                  <c:v>14.438253061224488</c:v>
                </c:pt>
                <c:pt idx="24">
                  <c:v>14.708228571428574</c:v>
                </c:pt>
                <c:pt idx="25">
                  <c:v>14.708254945054948</c:v>
                </c:pt>
                <c:pt idx="26">
                  <c:v>14.708254945054948</c:v>
                </c:pt>
                <c:pt idx="27">
                  <c:v>14.827912087912088</c:v>
                </c:pt>
                <c:pt idx="28">
                  <c:v>14.827912087912088</c:v>
                </c:pt>
                <c:pt idx="29">
                  <c:v>14.827912087912088</c:v>
                </c:pt>
                <c:pt idx="30">
                  <c:v>14.827912087912088</c:v>
                </c:pt>
                <c:pt idx="31">
                  <c:v>14.827226373626372</c:v>
                </c:pt>
                <c:pt idx="32">
                  <c:v>14.827569230769235</c:v>
                </c:pt>
                <c:pt idx="33">
                  <c:v>14.77563956043956</c:v>
                </c:pt>
                <c:pt idx="34">
                  <c:v>14.793942857142856</c:v>
                </c:pt>
                <c:pt idx="35">
                  <c:v>14.788773626373626</c:v>
                </c:pt>
                <c:pt idx="36">
                  <c:v>14.788773626373626</c:v>
                </c:pt>
                <c:pt idx="37">
                  <c:v>14.547870329670328</c:v>
                </c:pt>
                <c:pt idx="38">
                  <c:v>14.545345054945056</c:v>
                </c:pt>
                <c:pt idx="39">
                  <c:v>14.372782417582417</c:v>
                </c:pt>
                <c:pt idx="40">
                  <c:v>14.372782417582417</c:v>
                </c:pt>
                <c:pt idx="41">
                  <c:v>14.062826373626361</c:v>
                </c:pt>
                <c:pt idx="42">
                  <c:v>14.396043956043957</c:v>
                </c:pt>
                <c:pt idx="43">
                  <c:v>14.396043956043957</c:v>
                </c:pt>
                <c:pt idx="44">
                  <c:v>14.396043956043957</c:v>
                </c:pt>
                <c:pt idx="45">
                  <c:v>14.396043956043957</c:v>
                </c:pt>
                <c:pt idx="46">
                  <c:v>14.396043956043968</c:v>
                </c:pt>
                <c:pt idx="47">
                  <c:v>14.396043956043968</c:v>
                </c:pt>
                <c:pt idx="48">
                  <c:v>14.229296703296702</c:v>
                </c:pt>
                <c:pt idx="49">
                  <c:v>14.734786813186812</c:v>
                </c:pt>
                <c:pt idx="50">
                  <c:v>14.734786813186812</c:v>
                </c:pt>
                <c:pt idx="51">
                  <c:v>14.734786813186812</c:v>
                </c:pt>
                <c:pt idx="52">
                  <c:v>14.734786813186812</c:v>
                </c:pt>
                <c:pt idx="53">
                  <c:v>14.734786813186812</c:v>
                </c:pt>
                <c:pt idx="54">
                  <c:v>14.693723076923078</c:v>
                </c:pt>
                <c:pt idx="55">
                  <c:v>14.693723076923078</c:v>
                </c:pt>
                <c:pt idx="56">
                  <c:v>14.693723076923078</c:v>
                </c:pt>
                <c:pt idx="57">
                  <c:v>14.693723076923087</c:v>
                </c:pt>
                <c:pt idx="58">
                  <c:v>14.693723076923087</c:v>
                </c:pt>
                <c:pt idx="59">
                  <c:v>14.69372307692309</c:v>
                </c:pt>
                <c:pt idx="60">
                  <c:v>15.801362637362637</c:v>
                </c:pt>
                <c:pt idx="61">
                  <c:v>15.801362637362637</c:v>
                </c:pt>
                <c:pt idx="62">
                  <c:v>15.801362637362637</c:v>
                </c:pt>
                <c:pt idx="63">
                  <c:v>15.801362637362637</c:v>
                </c:pt>
                <c:pt idx="64">
                  <c:v>15.801362637362637</c:v>
                </c:pt>
                <c:pt idx="65">
                  <c:v>15.801362637362637</c:v>
                </c:pt>
                <c:pt idx="66">
                  <c:v>15.801538461538463</c:v>
                </c:pt>
                <c:pt idx="67">
                  <c:v>15.801538461538463</c:v>
                </c:pt>
                <c:pt idx="68">
                  <c:v>15.801538461538463</c:v>
                </c:pt>
                <c:pt idx="69">
                  <c:v>15.801538461538463</c:v>
                </c:pt>
                <c:pt idx="70">
                  <c:v>15.801538461538463</c:v>
                </c:pt>
                <c:pt idx="71">
                  <c:v>15.357692307692311</c:v>
                </c:pt>
                <c:pt idx="72">
                  <c:v>15.75</c:v>
                </c:pt>
                <c:pt idx="73">
                  <c:v>15.75</c:v>
                </c:pt>
                <c:pt idx="74">
                  <c:v>15.75</c:v>
                </c:pt>
                <c:pt idx="75">
                  <c:v>15.75</c:v>
                </c:pt>
                <c:pt idx="76">
                  <c:v>15.75</c:v>
                </c:pt>
                <c:pt idx="77">
                  <c:v>16.454615384615384</c:v>
                </c:pt>
                <c:pt idx="78">
                  <c:v>16.454615384615384</c:v>
                </c:pt>
                <c:pt idx="79">
                  <c:v>16.454615384615384</c:v>
                </c:pt>
                <c:pt idx="80">
                  <c:v>16.454615384615384</c:v>
                </c:pt>
                <c:pt idx="81">
                  <c:v>16.454615384615384</c:v>
                </c:pt>
                <c:pt idx="82">
                  <c:v>16.424615384615386</c:v>
                </c:pt>
                <c:pt idx="83">
                  <c:v>16.437692307692313</c:v>
                </c:pt>
                <c:pt idx="84">
                  <c:v>16.411538461538463</c:v>
                </c:pt>
                <c:pt idx="85">
                  <c:v>16.013846153846156</c:v>
                </c:pt>
              </c:numCache>
            </c:numRef>
          </c:val>
          <c:smooth val="1"/>
          <c:extLst>
            <c:ext xmlns:c16="http://schemas.microsoft.com/office/drawing/2014/chart" uri="{C3380CC4-5D6E-409C-BE32-E72D297353CC}">
              <c16:uniqueId val="{00000000-1951-401B-B742-1ADD390F0331}"/>
            </c:ext>
          </c:extLst>
        </c:ser>
        <c:dLbls>
          <c:showLegendKey val="0"/>
          <c:showVal val="0"/>
          <c:showCatName val="0"/>
          <c:showSerName val="0"/>
          <c:showPercent val="0"/>
          <c:showBubbleSize val="0"/>
        </c:dLbls>
        <c:smooth val="0"/>
        <c:axId val="91243264"/>
        <c:axId val="91244800"/>
      </c:lineChart>
      <c:catAx>
        <c:axId val="9124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1244800"/>
        <c:crosses val="autoZero"/>
        <c:auto val="1"/>
        <c:lblAlgn val="ctr"/>
        <c:lblOffset val="100"/>
        <c:tickLblSkip val="3"/>
        <c:tickMarkSkip val="1"/>
        <c:noMultiLvlLbl val="0"/>
      </c:catAx>
      <c:valAx>
        <c:axId val="9124480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1243264"/>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4732032621796394"/>
          <c:y val="0.44100620884671815"/>
          <c:w val="0.99067709193693443"/>
          <c:h val="0.5241783558486523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5.png"/><Relationship Id="rId3" Type="http://schemas.openxmlformats.org/officeDocument/2006/relationships/chart" Target="../charts/chart3.xml"/><Relationship Id="rId7" Type="http://schemas.openxmlformats.org/officeDocument/2006/relationships/hyperlink" Target="http://www.strommobil.at/" TargetMode="External"/><Relationship Id="rId12"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3.png"/><Relationship Id="rId5" Type="http://schemas.openxmlformats.org/officeDocument/2006/relationships/chart" Target="../charts/chart5.xml"/><Relationship Id="rId10" Type="http://schemas.openxmlformats.org/officeDocument/2006/relationships/image" Target="../media/image2.png"/><Relationship Id="rId4" Type="http://schemas.openxmlformats.org/officeDocument/2006/relationships/chart" Target="../charts/chart4.xml"/><Relationship Id="rId9" Type="http://schemas.openxmlformats.org/officeDocument/2006/relationships/chart" Target="../charts/chart7.xml"/><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jpeg"/><Relationship Id="rId2" Type="http://schemas.openxmlformats.org/officeDocument/2006/relationships/image" Target="../media/image8.jpe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5" Type="http://schemas.openxmlformats.org/officeDocument/2006/relationships/image" Target="../media/image21.pn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 Id="rId14"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hyperlink" Target="http://www.energyagency.at/" TargetMode="External"/><Relationship Id="rId6" Type="http://schemas.openxmlformats.org/officeDocument/2006/relationships/image" Target="../media/image28.png"/><Relationship Id="rId5" Type="http://schemas.openxmlformats.org/officeDocument/2006/relationships/hyperlink" Target="http://www.klimaaktiv.at/" TargetMode="External"/><Relationship Id="rId4" Type="http://schemas.openxmlformats.org/officeDocument/2006/relationships/image" Target="../media/image2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304800</xdr:colOff>
      <xdr:row>37</xdr:row>
      <xdr:rowOff>9525</xdr:rowOff>
    </xdr:from>
    <xdr:to>
      <xdr:col>2</xdr:col>
      <xdr:colOff>304800</xdr:colOff>
      <xdr:row>37</xdr:row>
      <xdr:rowOff>9525</xdr:rowOff>
    </xdr:to>
    <xdr:sp macro="" textlink="">
      <xdr:nvSpPr>
        <xdr:cNvPr id="6327306" name="Line 12"/>
        <xdr:cNvSpPr>
          <a:spLocks noChangeShapeType="1"/>
        </xdr:cNvSpPr>
      </xdr:nvSpPr>
      <xdr:spPr bwMode="auto">
        <a:xfrm>
          <a:off x="17335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28575</xdr:colOff>
      <xdr:row>28</xdr:row>
      <xdr:rowOff>52917</xdr:rowOff>
    </xdr:from>
    <xdr:to>
      <xdr:col>27</xdr:col>
      <xdr:colOff>657225</xdr:colOff>
      <xdr:row>38</xdr:row>
      <xdr:rowOff>10583</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28582</xdr:colOff>
      <xdr:row>28</xdr:row>
      <xdr:rowOff>9719</xdr:rowOff>
    </xdr:from>
    <xdr:to>
      <xdr:col>27</xdr:col>
      <xdr:colOff>634203</xdr:colOff>
      <xdr:row>38</xdr:row>
      <xdr:rowOff>77754</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3600</xdr:colOff>
      <xdr:row>39</xdr:row>
      <xdr:rowOff>149679</xdr:rowOff>
    </xdr:from>
    <xdr:to>
      <xdr:col>27</xdr:col>
      <xdr:colOff>619328</xdr:colOff>
      <xdr:row>49</xdr:row>
      <xdr:rowOff>125052</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40</xdr:row>
      <xdr:rowOff>6034</xdr:rowOff>
    </xdr:from>
    <xdr:to>
      <xdr:col>27</xdr:col>
      <xdr:colOff>657225</xdr:colOff>
      <xdr:row>49</xdr:row>
      <xdr:rowOff>28574</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20108</xdr:colOff>
      <xdr:row>68</xdr:row>
      <xdr:rowOff>55404</xdr:rowOff>
    </xdr:from>
    <xdr:to>
      <xdr:col>27</xdr:col>
      <xdr:colOff>714699</xdr:colOff>
      <xdr:row>86</xdr:row>
      <xdr:rowOff>95250</xdr:rowOff>
    </xdr:to>
    <xdr:graphicFrame macro="">
      <xdr:nvGraphicFramePr>
        <xdr:cNvPr id="632635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53</xdr:row>
      <xdr:rowOff>41684</xdr:rowOff>
    </xdr:from>
    <xdr:to>
      <xdr:col>27</xdr:col>
      <xdr:colOff>695325</xdr:colOff>
      <xdr:row>65</xdr:row>
      <xdr:rowOff>123825</xdr:rowOff>
    </xdr:to>
    <xdr:graphicFrame macro="">
      <xdr:nvGraphicFramePr>
        <xdr:cNvPr id="6326354"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634758</xdr:colOff>
      <xdr:row>1</xdr:row>
      <xdr:rowOff>99481</xdr:rowOff>
    </xdr:from>
    <xdr:to>
      <xdr:col>27</xdr:col>
      <xdr:colOff>679607</xdr:colOff>
      <xdr:row>1</xdr:row>
      <xdr:rowOff>685800</xdr:rowOff>
    </xdr:to>
    <xdr:pic>
      <xdr:nvPicPr>
        <xdr:cNvPr id="6326346" name="Grafik 1">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93636" y="264711"/>
          <a:ext cx="3495230" cy="586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43241</xdr:colOff>
      <xdr:row>15</xdr:row>
      <xdr:rowOff>14441</xdr:rowOff>
    </xdr:from>
    <xdr:to>
      <xdr:col>27</xdr:col>
      <xdr:colOff>642040</xdr:colOff>
      <xdr:row>23</xdr:row>
      <xdr:rowOff>84188</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38</xdr:col>
      <xdr:colOff>297797</xdr:colOff>
      <xdr:row>20</xdr:row>
      <xdr:rowOff>73195</xdr:rowOff>
    </xdr:from>
    <xdr:to>
      <xdr:col>42</xdr:col>
      <xdr:colOff>309389</xdr:colOff>
      <xdr:row>51</xdr:row>
      <xdr:rowOff>98235</xdr:rowOff>
    </xdr:to>
    <xdr:pic>
      <xdr:nvPicPr>
        <xdr:cNvPr id="11" name="Grafik 10"/>
        <xdr:cNvPicPr>
          <a:picLocks noChangeAspect="1"/>
        </xdr:cNvPicPr>
      </xdr:nvPicPr>
      <xdr:blipFill>
        <a:blip xmlns:r="http://schemas.openxmlformats.org/officeDocument/2006/relationships" r:embed="rId10"/>
        <a:stretch>
          <a:fillRect/>
        </a:stretch>
      </xdr:blipFill>
      <xdr:spPr>
        <a:xfrm>
          <a:off x="22729172" y="3883195"/>
          <a:ext cx="3383444" cy="4867793"/>
        </a:xfrm>
        <a:prstGeom prst="rect">
          <a:avLst/>
        </a:prstGeom>
      </xdr:spPr>
    </xdr:pic>
    <xdr:clientData/>
  </xdr:twoCellAnchor>
  <xdr:twoCellAnchor editAs="oneCell">
    <xdr:from>
      <xdr:col>48</xdr:col>
      <xdr:colOff>442251</xdr:colOff>
      <xdr:row>13</xdr:row>
      <xdr:rowOff>66256</xdr:rowOff>
    </xdr:from>
    <xdr:to>
      <xdr:col>58</xdr:col>
      <xdr:colOff>747781</xdr:colOff>
      <xdr:row>51</xdr:row>
      <xdr:rowOff>49013</xdr:rowOff>
    </xdr:to>
    <xdr:pic>
      <xdr:nvPicPr>
        <xdr:cNvPr id="12" name="Grafik 11"/>
        <xdr:cNvPicPr>
          <a:picLocks noChangeAspect="1"/>
        </xdr:cNvPicPr>
      </xdr:nvPicPr>
      <xdr:blipFill>
        <a:blip xmlns:r="http://schemas.openxmlformats.org/officeDocument/2006/relationships" r:embed="rId11"/>
        <a:stretch>
          <a:fillRect/>
        </a:stretch>
      </xdr:blipFill>
      <xdr:spPr>
        <a:xfrm>
          <a:off x="30869334" y="2701506"/>
          <a:ext cx="7925530" cy="5941174"/>
        </a:xfrm>
        <a:prstGeom prst="rect">
          <a:avLst/>
        </a:prstGeom>
      </xdr:spPr>
    </xdr:pic>
    <xdr:clientData/>
  </xdr:twoCellAnchor>
  <xdr:twoCellAnchor editAs="oneCell">
    <xdr:from>
      <xdr:col>46</xdr:col>
      <xdr:colOff>69452</xdr:colOff>
      <xdr:row>52</xdr:row>
      <xdr:rowOff>142875</xdr:rowOff>
    </xdr:from>
    <xdr:to>
      <xdr:col>52</xdr:col>
      <xdr:colOff>92868</xdr:colOff>
      <xdr:row>94</xdr:row>
      <xdr:rowOff>8496</xdr:rowOff>
    </xdr:to>
    <xdr:pic>
      <xdr:nvPicPr>
        <xdr:cNvPr id="5" name="Grafik 4"/>
        <xdr:cNvPicPr>
          <a:picLocks noChangeAspect="1"/>
        </xdr:cNvPicPr>
      </xdr:nvPicPr>
      <xdr:blipFill>
        <a:blip xmlns:r="http://schemas.openxmlformats.org/officeDocument/2006/relationships" r:embed="rId12"/>
        <a:stretch>
          <a:fillRect/>
        </a:stretch>
      </xdr:blipFill>
      <xdr:spPr>
        <a:xfrm>
          <a:off x="29073077" y="9596438"/>
          <a:ext cx="4595416" cy="7028422"/>
        </a:xfrm>
        <a:prstGeom prst="rect">
          <a:avLst/>
        </a:prstGeom>
      </xdr:spPr>
    </xdr:pic>
    <xdr:clientData/>
  </xdr:twoCellAnchor>
  <xdr:twoCellAnchor editAs="oneCell">
    <xdr:from>
      <xdr:col>38</xdr:col>
      <xdr:colOff>85725</xdr:colOff>
      <xdr:row>1</xdr:row>
      <xdr:rowOff>238125</xdr:rowOff>
    </xdr:from>
    <xdr:to>
      <xdr:col>44</xdr:col>
      <xdr:colOff>729557</xdr:colOff>
      <xdr:row>51</xdr:row>
      <xdr:rowOff>54778</xdr:rowOff>
    </xdr:to>
    <xdr:pic>
      <xdr:nvPicPr>
        <xdr:cNvPr id="6" name="Grafik 5"/>
        <xdr:cNvPicPr>
          <a:picLocks noChangeAspect="1"/>
        </xdr:cNvPicPr>
      </xdr:nvPicPr>
      <xdr:blipFill>
        <a:blip xmlns:r="http://schemas.openxmlformats.org/officeDocument/2006/relationships" r:embed="rId13"/>
        <a:stretch>
          <a:fillRect/>
        </a:stretch>
      </xdr:blipFill>
      <xdr:spPr>
        <a:xfrm>
          <a:off x="22517100" y="400050"/>
          <a:ext cx="5539684" cy="8354228"/>
        </a:xfrm>
        <a:prstGeom prst="rect">
          <a:avLst/>
        </a:prstGeom>
      </xdr:spPr>
    </xdr:pic>
    <xdr:clientData/>
  </xdr:twoCellAnchor>
  <xdr:twoCellAnchor editAs="oneCell">
    <xdr:from>
      <xdr:col>37</xdr:col>
      <xdr:colOff>1285942</xdr:colOff>
      <xdr:row>58</xdr:row>
      <xdr:rowOff>6268</xdr:rowOff>
    </xdr:from>
    <xdr:to>
      <xdr:col>45</xdr:col>
      <xdr:colOff>600225</xdr:colOff>
      <xdr:row>80</xdr:row>
      <xdr:rowOff>108273</xdr:rowOff>
    </xdr:to>
    <xdr:pic>
      <xdr:nvPicPr>
        <xdr:cNvPr id="7" name="Grafik 6"/>
        <xdr:cNvPicPr>
          <a:picLocks noChangeAspect="1"/>
        </xdr:cNvPicPr>
      </xdr:nvPicPr>
      <xdr:blipFill>
        <a:blip xmlns:r="http://schemas.openxmlformats.org/officeDocument/2006/relationships" r:embed="rId14"/>
        <a:stretch>
          <a:fillRect/>
        </a:stretch>
      </xdr:blipFill>
      <xdr:spPr>
        <a:xfrm>
          <a:off x="22343915" y="9814444"/>
          <a:ext cx="6342188" cy="3409125"/>
        </a:xfrm>
        <a:prstGeom prst="rect">
          <a:avLst/>
        </a:prstGeom>
      </xdr:spPr>
    </xdr:pic>
    <xdr:clientData/>
  </xdr:twoCellAnchor>
  <xdr:twoCellAnchor>
    <xdr:from>
      <xdr:col>21</xdr:col>
      <xdr:colOff>611037</xdr:colOff>
      <xdr:row>54</xdr:row>
      <xdr:rowOff>33304</xdr:rowOff>
    </xdr:from>
    <xdr:to>
      <xdr:col>22</xdr:col>
      <xdr:colOff>584306</xdr:colOff>
      <xdr:row>55</xdr:row>
      <xdr:rowOff>17971</xdr:rowOff>
    </xdr:to>
    <xdr:sp macro="" textlink="">
      <xdr:nvSpPr>
        <xdr:cNvPr id="3" name="Textfeld 2"/>
        <xdr:cNvSpPr txBox="1"/>
      </xdr:nvSpPr>
      <xdr:spPr>
        <a:xfrm>
          <a:off x="8124464" y="9118689"/>
          <a:ext cx="659335" cy="147857"/>
        </a:xfrm>
        <a:prstGeom prst="rect">
          <a:avLst/>
        </a:prstGeom>
        <a:solidFill>
          <a:sysClr val="window" lastClr="FFFFFF">
            <a:alpha val="60000"/>
          </a:sys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AT" sz="800"/>
            <a:t>Ersparnisse</a:t>
          </a:r>
        </a:p>
      </xdr:txBody>
    </xdr:sp>
    <xdr:clientData/>
  </xdr:twoCellAnchor>
  <xdr:twoCellAnchor>
    <xdr:from>
      <xdr:col>37</xdr:col>
      <xdr:colOff>544657</xdr:colOff>
      <xdr:row>0</xdr:row>
      <xdr:rowOff>0</xdr:rowOff>
    </xdr:from>
    <xdr:to>
      <xdr:col>59</xdr:col>
      <xdr:colOff>549399</xdr:colOff>
      <xdr:row>98</xdr:row>
      <xdr:rowOff>273342</xdr:rowOff>
    </xdr:to>
    <xdr:sp macro="" textlink="">
      <xdr:nvSpPr>
        <xdr:cNvPr id="8" name="Rechteck 7"/>
        <xdr:cNvSpPr/>
      </xdr:nvSpPr>
      <xdr:spPr>
        <a:xfrm>
          <a:off x="23232127" y="0"/>
          <a:ext cx="18033952" cy="1769870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0.1267</cdr:x>
      <cdr:y>0.7275</cdr:y>
    </cdr:from>
    <cdr:to>
      <cdr:x>0.27204</cdr:x>
      <cdr:y>0.80132</cdr:y>
    </cdr:to>
    <cdr:sp macro="" textlink="">
      <cdr:nvSpPr>
        <cdr:cNvPr id="2" name="Textfeld 2"/>
        <cdr:cNvSpPr txBox="1"/>
      </cdr:nvSpPr>
      <cdr:spPr>
        <a:xfrm xmlns:a="http://schemas.openxmlformats.org/drawingml/2006/main">
          <a:off x="608515" y="1454485"/>
          <a:ext cx="698040" cy="147595"/>
        </a:xfrm>
        <a:prstGeom xmlns:a="http://schemas.openxmlformats.org/drawingml/2006/main" prst="rect">
          <a:avLst/>
        </a:prstGeom>
        <a:solidFill xmlns:a="http://schemas.openxmlformats.org/drawingml/2006/main">
          <a:sysClr val="window" lastClr="FFFFFF">
            <a:alpha val="6000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AT" sz="800"/>
            <a:t>Mehrkosten</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50</xdr:col>
      <xdr:colOff>209550</xdr:colOff>
      <xdr:row>167</xdr:row>
      <xdr:rowOff>0</xdr:rowOff>
    </xdr:from>
    <xdr:to>
      <xdr:col>59</xdr:col>
      <xdr:colOff>378603</xdr:colOff>
      <xdr:row>171</xdr:row>
      <xdr:rowOff>187455</xdr:rowOff>
    </xdr:to>
    <xdr:pic>
      <xdr:nvPicPr>
        <xdr:cNvPr id="3" name="Grafik 2"/>
        <xdr:cNvPicPr>
          <a:picLocks noChangeAspect="1"/>
        </xdr:cNvPicPr>
      </xdr:nvPicPr>
      <xdr:blipFill>
        <a:blip xmlns:r="http://schemas.openxmlformats.org/officeDocument/2006/relationships" r:embed="rId1"/>
        <a:stretch>
          <a:fillRect/>
        </a:stretch>
      </xdr:blipFill>
      <xdr:spPr>
        <a:xfrm>
          <a:off x="43865800" y="11768666"/>
          <a:ext cx="7027053" cy="1673622"/>
        </a:xfrm>
        <a:prstGeom prst="rect">
          <a:avLst/>
        </a:prstGeom>
      </xdr:spPr>
    </xdr:pic>
    <xdr:clientData/>
  </xdr:twoCellAnchor>
  <xdr:twoCellAnchor editAs="oneCell">
    <xdr:from>
      <xdr:col>30</xdr:col>
      <xdr:colOff>40103</xdr:colOff>
      <xdr:row>79</xdr:row>
      <xdr:rowOff>0</xdr:rowOff>
    </xdr:from>
    <xdr:to>
      <xdr:col>30</xdr:col>
      <xdr:colOff>580103</xdr:colOff>
      <xdr:row>79</xdr:row>
      <xdr:rowOff>336853</xdr:rowOff>
    </xdr:to>
    <xdr:pic>
      <xdr:nvPicPr>
        <xdr:cNvPr id="13" name="Grafik 12" descr="http://www.topprodukte.at/cxdata/media/products/auto_erdgas/nissan_leafy.jp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236" b="24233"/>
        <a:stretch/>
      </xdr:blipFill>
      <xdr:spPr bwMode="auto">
        <a:xfrm>
          <a:off x="12532892" y="3890211"/>
          <a:ext cx="540000" cy="336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30</xdr:col>
      <xdr:colOff>50129</xdr:colOff>
      <xdr:row>79</xdr:row>
      <xdr:rowOff>0</xdr:rowOff>
    </xdr:from>
    <xdr:ext cx="540000" cy="336853"/>
    <xdr:pic>
      <xdr:nvPicPr>
        <xdr:cNvPr id="15" name="Grafik 14" descr="http://www.topprodukte.at/cxdata/media/products/auto_erdgas/nissan_leafy.jp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236" b="24233"/>
        <a:stretch/>
      </xdr:blipFill>
      <xdr:spPr bwMode="auto">
        <a:xfrm>
          <a:off x="12542918" y="3509211"/>
          <a:ext cx="540000" cy="3368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149679</xdr:colOff>
      <xdr:row>78</xdr:row>
      <xdr:rowOff>314697</xdr:rowOff>
    </xdr:from>
    <xdr:ext cx="1610666" cy="1004736"/>
    <xdr:pic>
      <xdr:nvPicPr>
        <xdr:cNvPr id="16" name="Grafik 15" descr="http://www.topprodukte.at/cxdata/media/products/auto_erdgas/nissan_leafy.jp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236" b="24233"/>
        <a:stretch/>
      </xdr:blipFill>
      <xdr:spPr bwMode="auto">
        <a:xfrm>
          <a:off x="30085393" y="3049733"/>
          <a:ext cx="1610666" cy="10047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131115</xdr:colOff>
      <xdr:row>77</xdr:row>
      <xdr:rowOff>231321</xdr:rowOff>
    </xdr:from>
    <xdr:ext cx="1329871" cy="829576"/>
    <xdr:pic>
      <xdr:nvPicPr>
        <xdr:cNvPr id="17" name="Grafik 16" descr="http://www.topprodukte.at/cxdata/media/products/auto_erdgas/nissan_leafy.jp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236" b="24233"/>
        <a:stretch/>
      </xdr:blipFill>
      <xdr:spPr bwMode="auto">
        <a:xfrm>
          <a:off x="28760544" y="2585357"/>
          <a:ext cx="1329871" cy="82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30</xdr:col>
      <xdr:colOff>10026</xdr:colOff>
      <xdr:row>82</xdr:row>
      <xdr:rowOff>0</xdr:rowOff>
    </xdr:from>
    <xdr:to>
      <xdr:col>30</xdr:col>
      <xdr:colOff>670853</xdr:colOff>
      <xdr:row>82</xdr:row>
      <xdr:rowOff>338400</xdr:rowOff>
    </xdr:to>
    <xdr:pic>
      <xdr:nvPicPr>
        <xdr:cNvPr id="20" name="Grafik 19" descr="http://www.topprodukte.at/cxdata/media/products/auto_erdgas/tesla_model_s.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795" b="28469"/>
        <a:stretch/>
      </xdr:blipFill>
      <xdr:spPr bwMode="auto">
        <a:xfrm>
          <a:off x="12502815" y="7309186"/>
          <a:ext cx="660827"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20056</xdr:colOff>
      <xdr:row>82</xdr:row>
      <xdr:rowOff>0</xdr:rowOff>
    </xdr:from>
    <xdr:to>
      <xdr:col>30</xdr:col>
      <xdr:colOff>665778</xdr:colOff>
      <xdr:row>82</xdr:row>
      <xdr:rowOff>338400</xdr:rowOff>
    </xdr:to>
    <xdr:pic>
      <xdr:nvPicPr>
        <xdr:cNvPr id="22" name="Grafik 21" descr="http://www.topprodukte.at/cxdata/media/products/auto_erdgas/tesla_roadstery.jp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784" t="29802" r="5718" b="30190"/>
        <a:stretch/>
      </xdr:blipFill>
      <xdr:spPr bwMode="auto">
        <a:xfrm>
          <a:off x="12512845" y="7700208"/>
          <a:ext cx="645722"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40104</xdr:colOff>
      <xdr:row>79</xdr:row>
      <xdr:rowOff>30094</xdr:rowOff>
    </xdr:from>
    <xdr:to>
      <xdr:col>30</xdr:col>
      <xdr:colOff>552485</xdr:colOff>
      <xdr:row>79</xdr:row>
      <xdr:rowOff>368494</xdr:rowOff>
    </xdr:to>
    <xdr:pic>
      <xdr:nvPicPr>
        <xdr:cNvPr id="24" name="Grafik 23" descr="http://www.topprodukte.at/cxdata/media/products/auto_erdgas/renault_zoey.jp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2440" b="21256"/>
        <a:stretch/>
      </xdr:blipFill>
      <xdr:spPr bwMode="auto">
        <a:xfrm>
          <a:off x="12532893" y="5033226"/>
          <a:ext cx="512381"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70182</xdr:colOff>
      <xdr:row>80</xdr:row>
      <xdr:rowOff>0</xdr:rowOff>
    </xdr:from>
    <xdr:to>
      <xdr:col>30</xdr:col>
      <xdr:colOff>536546</xdr:colOff>
      <xdr:row>80</xdr:row>
      <xdr:rowOff>338400</xdr:rowOff>
    </xdr:to>
    <xdr:pic>
      <xdr:nvPicPr>
        <xdr:cNvPr id="26" name="Grafik 25" descr="http://www.topprodukte.at/cxdata/media/products/auto_erdgas/renault_twizyy.jp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7544" b="20849"/>
        <a:stretch/>
      </xdr:blipFill>
      <xdr:spPr bwMode="auto">
        <a:xfrm>
          <a:off x="12562971" y="5795222"/>
          <a:ext cx="466364"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40104</xdr:colOff>
      <xdr:row>82</xdr:row>
      <xdr:rowOff>0</xdr:rowOff>
    </xdr:from>
    <xdr:to>
      <xdr:col>30</xdr:col>
      <xdr:colOff>608015</xdr:colOff>
      <xdr:row>82</xdr:row>
      <xdr:rowOff>338400</xdr:rowOff>
    </xdr:to>
    <xdr:pic>
      <xdr:nvPicPr>
        <xdr:cNvPr id="27" name="Grafik 26" descr="http://www.topprodukte.at/cxdata/media/products/auto_erdgas/vw_eup.jp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4600" b="24559"/>
        <a:stretch/>
      </xdr:blipFill>
      <xdr:spPr bwMode="auto">
        <a:xfrm>
          <a:off x="12532893" y="8071203"/>
          <a:ext cx="567911"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70185</xdr:colOff>
      <xdr:row>80</xdr:row>
      <xdr:rowOff>30077</xdr:rowOff>
    </xdr:from>
    <xdr:to>
      <xdr:col>30</xdr:col>
      <xdr:colOff>584207</xdr:colOff>
      <xdr:row>80</xdr:row>
      <xdr:rowOff>368477</xdr:rowOff>
    </xdr:to>
    <xdr:pic>
      <xdr:nvPicPr>
        <xdr:cNvPr id="30" name="Grafik 29" descr="http://www.topprodukte.at/cxdata/media/products/auto_erdgas/smart_fortwo.jp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2649" b="20938"/>
        <a:stretch/>
      </xdr:blipFill>
      <xdr:spPr bwMode="auto">
        <a:xfrm>
          <a:off x="12562974" y="6176209"/>
          <a:ext cx="514022"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20054</xdr:colOff>
      <xdr:row>77</xdr:row>
      <xdr:rowOff>0</xdr:rowOff>
    </xdr:from>
    <xdr:to>
      <xdr:col>30</xdr:col>
      <xdr:colOff>644297</xdr:colOff>
      <xdr:row>77</xdr:row>
      <xdr:rowOff>338400</xdr:rowOff>
    </xdr:to>
    <xdr:pic>
      <xdr:nvPicPr>
        <xdr:cNvPr id="31" name="Grafik 30" descr="http://www.topprodukte.at/cxdata/media/products/auto_erdgas/ford_focus_electric.jp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6354" b="27116"/>
        <a:stretch/>
      </xdr:blipFill>
      <xdr:spPr bwMode="auto">
        <a:xfrm>
          <a:off x="12512843" y="1975184"/>
          <a:ext cx="624243"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50132</xdr:colOff>
      <xdr:row>77</xdr:row>
      <xdr:rowOff>30079</xdr:rowOff>
    </xdr:from>
    <xdr:to>
      <xdr:col>30</xdr:col>
      <xdr:colOff>586445</xdr:colOff>
      <xdr:row>77</xdr:row>
      <xdr:rowOff>368479</xdr:rowOff>
    </xdr:to>
    <xdr:pic>
      <xdr:nvPicPr>
        <xdr:cNvPr id="33" name="Grafik 32" descr="http://www.topprodukte.at/cxdata/media/products/auto_erdgas/mitsubishi_imievy.jp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3256" b="22888"/>
        <a:stretch/>
      </xdr:blipFill>
      <xdr:spPr bwMode="auto">
        <a:xfrm>
          <a:off x="12542921" y="2366211"/>
          <a:ext cx="536313"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652427</xdr:colOff>
      <xdr:row>79</xdr:row>
      <xdr:rowOff>0</xdr:rowOff>
    </xdr:from>
    <xdr:to>
      <xdr:col>29</xdr:col>
      <xdr:colOff>383515</xdr:colOff>
      <xdr:row>79</xdr:row>
      <xdr:rowOff>338400</xdr:rowOff>
    </xdr:to>
    <xdr:pic>
      <xdr:nvPicPr>
        <xdr:cNvPr id="35" name="Grafik 34" descr="http://www.topprodukte.at/cxdata/media/products/auto_erdgas/opel_ampera.jp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4888" b="24929"/>
        <a:stretch/>
      </xdr:blipFill>
      <xdr:spPr bwMode="auto">
        <a:xfrm>
          <a:off x="27662606" y="4343544"/>
          <a:ext cx="574729"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20054</xdr:colOff>
      <xdr:row>79</xdr:row>
      <xdr:rowOff>0</xdr:rowOff>
    </xdr:from>
    <xdr:to>
      <xdr:col>30</xdr:col>
      <xdr:colOff>609997</xdr:colOff>
      <xdr:row>79</xdr:row>
      <xdr:rowOff>338400</xdr:rowOff>
    </xdr:to>
    <xdr:pic>
      <xdr:nvPicPr>
        <xdr:cNvPr id="36" name="Grafik 35" descr="http://www.topprodukte.at/cxdata/media/products/auto_erdgas/peugeot_iony.jp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5704" b="25336"/>
        <a:stretch/>
      </xdr:blipFill>
      <xdr:spPr bwMode="auto">
        <a:xfrm>
          <a:off x="12512843" y="4652209"/>
          <a:ext cx="589943"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80210</xdr:colOff>
      <xdr:row>81</xdr:row>
      <xdr:rowOff>0</xdr:rowOff>
    </xdr:from>
    <xdr:to>
      <xdr:col>30</xdr:col>
      <xdr:colOff>567740</xdr:colOff>
      <xdr:row>81</xdr:row>
      <xdr:rowOff>338400</xdr:rowOff>
    </xdr:to>
    <xdr:pic>
      <xdr:nvPicPr>
        <xdr:cNvPr id="38" name="Grafik 37" descr="http://www.topprodukte.at/cxdata/media/products/auto_erdgas/smart_brabus.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20808" b="20032"/>
        <a:stretch/>
      </xdr:blipFill>
      <xdr:spPr bwMode="auto">
        <a:xfrm>
          <a:off x="12572999" y="6557211"/>
          <a:ext cx="487530"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50132</xdr:colOff>
      <xdr:row>82</xdr:row>
      <xdr:rowOff>0</xdr:rowOff>
    </xdr:from>
    <xdr:to>
      <xdr:col>30</xdr:col>
      <xdr:colOff>620227</xdr:colOff>
      <xdr:row>82</xdr:row>
      <xdr:rowOff>342369</xdr:rowOff>
    </xdr:to>
    <xdr:pic>
      <xdr:nvPicPr>
        <xdr:cNvPr id="40" name="Grafik 39" descr="http://www.topprodukte.at/cxdata/media/products/auto_erdgas/tazzari_zero1y.jp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25311" b="24067"/>
        <a:stretch/>
      </xdr:blipFill>
      <xdr:spPr bwMode="auto">
        <a:xfrm>
          <a:off x="12542921" y="6948237"/>
          <a:ext cx="570095" cy="3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541413</xdr:colOff>
      <xdr:row>86</xdr:row>
      <xdr:rowOff>183380</xdr:rowOff>
    </xdr:from>
    <xdr:to>
      <xdr:col>67</xdr:col>
      <xdr:colOff>476724</xdr:colOff>
      <xdr:row>90</xdr:row>
      <xdr:rowOff>135571</xdr:rowOff>
    </xdr:to>
    <xdr:pic>
      <xdr:nvPicPr>
        <xdr:cNvPr id="4" name="Grafik 3"/>
        <xdr:cNvPicPr>
          <a:picLocks noChangeAspect="1"/>
        </xdr:cNvPicPr>
      </xdr:nvPicPr>
      <xdr:blipFill>
        <a:blip xmlns:r="http://schemas.openxmlformats.org/officeDocument/2006/relationships" r:embed="rId15"/>
        <a:stretch>
          <a:fillRect/>
        </a:stretch>
      </xdr:blipFill>
      <xdr:spPr>
        <a:xfrm>
          <a:off x="48674413" y="18884130"/>
          <a:ext cx="8317313" cy="1476191"/>
        </a:xfrm>
        <a:prstGeom prst="rect">
          <a:avLst/>
        </a:prstGeom>
      </xdr:spPr>
    </xdr:pic>
    <xdr:clientData/>
  </xdr:twoCellAnchor>
  <xdr:twoCellAnchor editAs="oneCell">
    <xdr:from>
      <xdr:col>56</xdr:col>
      <xdr:colOff>714375</xdr:colOff>
      <xdr:row>82</xdr:row>
      <xdr:rowOff>0</xdr:rowOff>
    </xdr:from>
    <xdr:to>
      <xdr:col>65</xdr:col>
      <xdr:colOff>172331</xdr:colOff>
      <xdr:row>91</xdr:row>
      <xdr:rowOff>248164</xdr:rowOff>
    </xdr:to>
    <xdr:pic>
      <xdr:nvPicPr>
        <xdr:cNvPr id="10" name="Grafik 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8768000" y="6310313"/>
          <a:ext cx="6315957" cy="3677163"/>
        </a:xfrm>
        <a:prstGeom prst="rect">
          <a:avLst/>
        </a:prstGeom>
      </xdr:spPr>
    </xdr:pic>
    <xdr:clientData/>
  </xdr:twoCellAnchor>
  <xdr:twoCellAnchor>
    <xdr:from>
      <xdr:col>60</xdr:col>
      <xdr:colOff>611588</xdr:colOff>
      <xdr:row>25</xdr:row>
      <xdr:rowOff>47927</xdr:rowOff>
    </xdr:from>
    <xdr:to>
      <xdr:col>99</xdr:col>
      <xdr:colOff>236462</xdr:colOff>
      <xdr:row>268</xdr:row>
      <xdr:rowOff>124818</xdr:rowOff>
    </xdr:to>
    <xdr:sp macro="" textlink="">
      <xdr:nvSpPr>
        <xdr:cNvPr id="7" name="Rechteck 6"/>
        <xdr:cNvSpPr/>
      </xdr:nvSpPr>
      <xdr:spPr>
        <a:xfrm>
          <a:off x="53376495" y="1600680"/>
          <a:ext cx="29903590" cy="1868119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29</xdr:col>
      <xdr:colOff>666751</xdr:colOff>
      <xdr:row>0</xdr:row>
      <xdr:rowOff>0</xdr:rowOff>
    </xdr:from>
    <xdr:to>
      <xdr:col>51</xdr:col>
      <xdr:colOff>452439</xdr:colOff>
      <xdr:row>25</xdr:row>
      <xdr:rowOff>357187</xdr:rowOff>
    </xdr:to>
    <xdr:sp macro="" textlink="">
      <xdr:nvSpPr>
        <xdr:cNvPr id="2" name="Rechteck 1"/>
        <xdr:cNvSpPr/>
      </xdr:nvSpPr>
      <xdr:spPr>
        <a:xfrm>
          <a:off x="28920282" y="0"/>
          <a:ext cx="16883063" cy="34766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698500</xdr:colOff>
      <xdr:row>17</xdr:row>
      <xdr:rowOff>148166</xdr:rowOff>
    </xdr:from>
    <xdr:to>
      <xdr:col>23</xdr:col>
      <xdr:colOff>1005489</xdr:colOff>
      <xdr:row>36</xdr:row>
      <xdr:rowOff>17630</xdr:rowOff>
    </xdr:to>
    <xdr:pic>
      <xdr:nvPicPr>
        <xdr:cNvPr id="5" name="Grafik 4"/>
        <xdr:cNvPicPr>
          <a:picLocks noChangeAspect="1"/>
        </xdr:cNvPicPr>
      </xdr:nvPicPr>
      <xdr:blipFill>
        <a:blip xmlns:r="http://schemas.openxmlformats.org/officeDocument/2006/relationships" r:embed="rId1"/>
        <a:stretch>
          <a:fillRect/>
        </a:stretch>
      </xdr:blipFill>
      <xdr:spPr>
        <a:xfrm>
          <a:off x="11281833" y="2995083"/>
          <a:ext cx="7895239" cy="2885714"/>
        </a:xfrm>
        <a:prstGeom prst="rect">
          <a:avLst/>
        </a:prstGeom>
      </xdr:spPr>
    </xdr:pic>
    <xdr:clientData/>
  </xdr:twoCellAnchor>
  <xdr:twoCellAnchor editAs="oneCell">
    <xdr:from>
      <xdr:col>12</xdr:col>
      <xdr:colOff>814917</xdr:colOff>
      <xdr:row>16</xdr:row>
      <xdr:rowOff>82274</xdr:rowOff>
    </xdr:from>
    <xdr:to>
      <xdr:col>24</xdr:col>
      <xdr:colOff>718868</xdr:colOff>
      <xdr:row>44</xdr:row>
      <xdr:rowOff>84059</xdr:rowOff>
    </xdr:to>
    <xdr:pic>
      <xdr:nvPicPr>
        <xdr:cNvPr id="2" name="Grafik 1"/>
        <xdr:cNvPicPr>
          <a:picLocks noChangeAspect="1"/>
        </xdr:cNvPicPr>
      </xdr:nvPicPr>
      <xdr:blipFill>
        <a:blip xmlns:r="http://schemas.openxmlformats.org/officeDocument/2006/relationships" r:embed="rId2"/>
        <a:stretch>
          <a:fillRect/>
        </a:stretch>
      </xdr:blipFill>
      <xdr:spPr>
        <a:xfrm>
          <a:off x="11770464" y="3005671"/>
          <a:ext cx="9115045" cy="4794237"/>
        </a:xfrm>
        <a:prstGeom prst="rect">
          <a:avLst/>
        </a:prstGeom>
      </xdr:spPr>
    </xdr:pic>
    <xdr:clientData/>
  </xdr:twoCellAnchor>
  <xdr:twoCellAnchor>
    <xdr:from>
      <xdr:col>12</xdr:col>
      <xdr:colOff>495419</xdr:colOff>
      <xdr:row>16</xdr:row>
      <xdr:rowOff>47925</xdr:rowOff>
    </xdr:from>
    <xdr:to>
      <xdr:col>26</xdr:col>
      <xdr:colOff>325887</xdr:colOff>
      <xdr:row>47</xdr:row>
      <xdr:rowOff>99026</xdr:rowOff>
    </xdr:to>
    <xdr:sp macro="" textlink="">
      <xdr:nvSpPr>
        <xdr:cNvPr id="3" name="Rechteck 2"/>
        <xdr:cNvSpPr/>
      </xdr:nvSpPr>
      <xdr:spPr>
        <a:xfrm>
          <a:off x="11450966" y="2971322"/>
          <a:ext cx="10814770" cy="532279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23</xdr:row>
      <xdr:rowOff>0</xdr:rowOff>
    </xdr:from>
    <xdr:to>
      <xdr:col>11</xdr:col>
      <xdr:colOff>742950</xdr:colOff>
      <xdr:row>37</xdr:row>
      <xdr:rowOff>180975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17990</xdr:colOff>
      <xdr:row>5</xdr:row>
      <xdr:rowOff>84668</xdr:rowOff>
    </xdr:from>
    <xdr:to>
      <xdr:col>26</xdr:col>
      <xdr:colOff>360891</xdr:colOff>
      <xdr:row>31</xdr:row>
      <xdr:rowOff>137584</xdr:rowOff>
    </xdr:to>
    <xdr:sp macro="" textlink="">
      <xdr:nvSpPr>
        <xdr:cNvPr id="8" name="Textfeld 7"/>
        <xdr:cNvSpPr txBox="1"/>
      </xdr:nvSpPr>
      <xdr:spPr>
        <a:xfrm>
          <a:off x="11162240" y="857251"/>
          <a:ext cx="5676901" cy="402166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effectLst/>
            </a:rPr>
            <a:t>Auch heuer ist keine Eile bei der Antragstellung notwendig. Für bis zu </a:t>
          </a:r>
          <a:r>
            <a:rPr lang="de-DE" sz="1000" b="1">
              <a:effectLst/>
            </a:rPr>
            <a:t>21.000 Anlagen</a:t>
          </a:r>
          <a:r>
            <a:rPr lang="de-DE" sz="1000">
              <a:effectLst/>
            </a:rPr>
            <a:t> stehen Fördermittel zur Verfügung. Gefördert werden Photovoltaik-Anlagen, die zwischen </a:t>
          </a:r>
          <a:r>
            <a:rPr lang="de-DE" sz="1000" b="1">
              <a:effectLst/>
            </a:rPr>
            <a:t>12.03.2014 und 15.12.2014</a:t>
          </a:r>
          <a:r>
            <a:rPr lang="de-DE" sz="1000">
              <a:effectLst/>
            </a:rPr>
            <a:t> errichtet werden. Anders als bisher können heuer sowohl </a:t>
          </a:r>
          <a:r>
            <a:rPr lang="de-DE" sz="1000" b="1">
              <a:effectLst/>
            </a:rPr>
            <a:t>natürliche als auch juristische Personen</a:t>
          </a:r>
          <a:r>
            <a:rPr lang="de-DE" sz="1000">
              <a:effectLst/>
            </a:rPr>
            <a:t> einen Antrag stellen. Somit können neben Privatpersonen auch Betriebe, Vereine, konfessionelle Einrichtungen etc. eine Förderung beantragen. </a:t>
          </a:r>
          <a:br>
            <a:rPr lang="de-DE" sz="1000">
              <a:effectLst/>
            </a:rPr>
          </a:br>
          <a:r>
            <a:rPr lang="de-DE" sz="1000">
              <a:effectLst/>
            </a:rPr>
            <a:t/>
          </a:r>
          <a:br>
            <a:rPr lang="de-DE" sz="1000">
              <a:effectLst/>
            </a:rPr>
          </a:br>
          <a:r>
            <a:rPr lang="de-DE" sz="1000">
              <a:effectLst/>
            </a:rPr>
            <a:t>Registrierung und Antragstellung sind wie im Vorjahr laufend möglich, bitte beachten Sie dazu Folgendes: </a:t>
          </a:r>
          <a:br>
            <a:rPr lang="de-DE" sz="1000">
              <a:effectLst/>
            </a:rPr>
          </a:br>
          <a:r>
            <a:rPr lang="de-DE" sz="1000">
              <a:effectLst/>
            </a:rPr>
            <a:t/>
          </a:r>
          <a:br>
            <a:rPr lang="de-DE" sz="1000">
              <a:effectLst/>
            </a:rPr>
          </a:br>
          <a:r>
            <a:rPr lang="de-DE" sz="1000">
              <a:effectLst/>
            </a:rPr>
            <a:t>Um einen Antrag auf Förderung stellen zu können, ist eine Registrierungsnummer für das geplante bzw. in Umsetzung befindliche Projekt erforderlich. Die Registrierung muss online über diese Website erfolgen. Anträge können danach innerhalb von 12 Wochen bzw. bei Anträgen, die ab dem 22.09.2014 eingereicht werden, bis 15.12.2014 gestellt werden. </a:t>
          </a:r>
        </a:p>
        <a:p>
          <a:r>
            <a:rPr lang="de-DE" sz="1000">
              <a:effectLst/>
            </a:rPr>
            <a:t/>
          </a:r>
          <a:br>
            <a:rPr lang="de-DE" sz="1000">
              <a:effectLst/>
            </a:rPr>
          </a:br>
          <a:r>
            <a:rPr lang="de-DE" sz="1000">
              <a:effectLst/>
            </a:rPr>
            <a:t/>
          </a:r>
          <a:br>
            <a:rPr lang="de-DE" sz="1000">
              <a:effectLst/>
            </a:rPr>
          </a:br>
          <a:r>
            <a:rPr lang="de-DE" sz="1000">
              <a:effectLst/>
            </a:rPr>
            <a:t>Mit der Registrierungsbestätigung erhalten Sie einen Link zur Online-Antragsplattform. Die Antragstellung kann erst nach Errichtung der Photovoltaik-Anlage durchgeführt werden. Bitte beachten Sie, dass die Anlage zu diesem Zeitpunkt bereits fertig installiert und abgerechnet sein muss. </a:t>
          </a:r>
        </a:p>
        <a:p>
          <a:r>
            <a:rPr lang="de-DE" sz="1000">
              <a:effectLst/>
            </a:rPr>
            <a:t/>
          </a:r>
          <a:br>
            <a:rPr lang="de-DE" sz="1000">
              <a:effectLst/>
            </a:rPr>
          </a:br>
          <a:r>
            <a:rPr lang="de-DE" sz="1000">
              <a:effectLst/>
            </a:rPr>
            <a:t>Ab der Registrierung sind die Fördermittel für Ihr Projekt reserviert. Bitte beachten Sie, dass eine mehrfache Registrierung nicht zulässig ist. </a:t>
          </a:r>
          <a:r>
            <a:rPr lang="de-DE" sz="1000" b="1">
              <a:effectLst/>
            </a:rPr>
            <a:t>Es wird daher empfohlen, die Registrierung erst bei Vorliegen eines gesicherten Zeitplanes für die Errichtung bzw. Fertigstellung der Photovoltaik-Anlage vorzunehmen.</a:t>
          </a:r>
          <a:r>
            <a:rPr lang="de-DE" sz="1000">
              <a:effectLst/>
            </a:rPr>
            <a:t> </a:t>
          </a:r>
          <a:br>
            <a:rPr lang="de-DE" sz="1000">
              <a:effectLst/>
            </a:rPr>
          </a:br>
          <a:r>
            <a:rPr lang="de-DE" sz="1000">
              <a:effectLst/>
            </a:rPr>
            <a:t/>
          </a:r>
          <a:br>
            <a:rPr lang="de-DE" sz="1000">
              <a:effectLst/>
            </a:rPr>
          </a:br>
          <a:r>
            <a:rPr lang="de-DE" sz="1000">
              <a:effectLst/>
            </a:rPr>
            <a:t>Informationen zu den erforderlichen Registrierungs- und Antragsdaten finden Sie in den nachfolgenden „Details zur Förderaktion“</a:t>
          </a:r>
          <a:r>
            <a:rPr lang="de-DE" sz="1000" baseline="0">
              <a:effectLst/>
            </a:rPr>
            <a:t>:</a:t>
          </a:r>
          <a:endParaRPr lang="de-DE" sz="1000" u="none">
            <a:solidFill>
              <a:schemeClr val="dk1"/>
            </a:solidFill>
            <a:effectLst/>
            <a:latin typeface="+mn-lt"/>
            <a:ea typeface="+mn-ea"/>
            <a:cs typeface="+mn-cs"/>
          </a:endParaRPr>
        </a:p>
      </xdr:txBody>
    </xdr:sp>
    <xdr:clientData/>
  </xdr:twoCellAnchor>
  <xdr:twoCellAnchor>
    <xdr:from>
      <xdr:col>6</xdr:col>
      <xdr:colOff>752475</xdr:colOff>
      <xdr:row>0</xdr:row>
      <xdr:rowOff>0</xdr:rowOff>
    </xdr:from>
    <xdr:to>
      <xdr:col>7</xdr:col>
      <xdr:colOff>485775</xdr:colOff>
      <xdr:row>1</xdr:row>
      <xdr:rowOff>133350</xdr:rowOff>
    </xdr:to>
    <xdr:pic>
      <xdr:nvPicPr>
        <xdr:cNvPr id="6336538" name="Picture 26"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71925" y="0"/>
          <a:ext cx="723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66675</xdr:rowOff>
    </xdr:from>
    <xdr:to>
      <xdr:col>13</xdr:col>
      <xdr:colOff>609600</xdr:colOff>
      <xdr:row>1</xdr:row>
      <xdr:rowOff>85725</xdr:rowOff>
    </xdr:to>
    <xdr:pic>
      <xdr:nvPicPr>
        <xdr:cNvPr id="6336539" name="Picture 27"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67625" y="66675"/>
          <a:ext cx="14001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771525</xdr:colOff>
      <xdr:row>0</xdr:row>
      <xdr:rowOff>66675</xdr:rowOff>
    </xdr:from>
    <xdr:to>
      <xdr:col>11</xdr:col>
      <xdr:colOff>609600</xdr:colOff>
      <xdr:row>1</xdr:row>
      <xdr:rowOff>85725</xdr:rowOff>
    </xdr:to>
    <xdr:pic>
      <xdr:nvPicPr>
        <xdr:cNvPr id="6336540" name="Picture 29"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2600" y="66675"/>
          <a:ext cx="1981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0</xdr:row>
      <xdr:rowOff>38100</xdr:rowOff>
    </xdr:from>
    <xdr:to>
      <xdr:col>2</xdr:col>
      <xdr:colOff>266700</xdr:colOff>
      <xdr:row>2</xdr:row>
      <xdr:rowOff>9525</xdr:rowOff>
    </xdr:to>
    <xdr:pic>
      <xdr:nvPicPr>
        <xdr:cNvPr id="6336541" name="Grafik 9">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2875" y="38100"/>
          <a:ext cx="10001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381000</xdr:colOff>
      <xdr:row>1</xdr:row>
      <xdr:rowOff>228600</xdr:rowOff>
    </xdr:from>
    <xdr:to>
      <xdr:col>14</xdr:col>
      <xdr:colOff>228600</xdr:colOff>
      <xdr:row>33</xdr:row>
      <xdr:rowOff>85725</xdr:rowOff>
    </xdr:to>
    <xdr:graphicFrame macro="">
      <xdr:nvGraphicFramePr>
        <xdr:cNvPr id="6337546"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142875</xdr:colOff>
      <xdr:row>4</xdr:row>
      <xdr:rowOff>104775</xdr:rowOff>
    </xdr:from>
    <xdr:to>
      <xdr:col>29</xdr:col>
      <xdr:colOff>123825</xdr:colOff>
      <xdr:row>31</xdr:row>
      <xdr:rowOff>0</xdr:rowOff>
    </xdr:to>
    <xdr:pic>
      <xdr:nvPicPr>
        <xdr:cNvPr id="6337547" name="Picture 2" descr="5F7F186DA5827F59E040A8C03C2F5EF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1085850"/>
          <a:ext cx="6381750"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www.e-control.at/portal/page/portal/ECONTROL_HOME/STROM/STROMPREISE/ENDVERBRAUCHERPREIS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topprodukte.at/" TargetMode="External"/><Relationship Id="rId1" Type="http://schemas.openxmlformats.org/officeDocument/2006/relationships/hyperlink" Target="mailto:f.jetzinger@linzag.at"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topprodukte.at/index.php?pid=produktlisten&amp;topprodukte_sort_listing=x&amp;topprodukte_sort_direction=asc&amp;topprodukte_how_many_ds=2"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hyundai.at/tucson" TargetMode="External"/><Relationship Id="rId13" Type="http://schemas.openxmlformats.org/officeDocument/2006/relationships/hyperlink" Target="https://www.volkswagen.at/tiguan/infomaterial" TargetMode="External"/><Relationship Id="rId18" Type="http://schemas.openxmlformats.org/officeDocument/2006/relationships/hyperlink" Target="https://www.suzuki.at/auto/modelle/VITARA/vitara/preise" TargetMode="External"/><Relationship Id="rId3" Type="http://schemas.openxmlformats.org/officeDocument/2006/relationships/hyperlink" Target="https://www.ford.at/pkw-modelle/edge/ausstattungsvarianten/st-line" TargetMode="External"/><Relationship Id="rId21" Type="http://schemas.openxmlformats.org/officeDocument/2006/relationships/hyperlink" Target="https://www.bmw.at/de/all-models/x-series/X3/2019/bmw-x3-ueberblick.html" TargetMode="External"/><Relationship Id="rId7" Type="http://schemas.openxmlformats.org/officeDocument/2006/relationships/hyperlink" Target="https://www.hyundai.at/tucson" TargetMode="External"/><Relationship Id="rId12" Type="http://schemas.openxmlformats.org/officeDocument/2006/relationships/hyperlink" Target="https://www.volkswagen.at/tiguan/infomaterial" TargetMode="External"/><Relationship Id="rId17" Type="http://schemas.openxmlformats.org/officeDocument/2006/relationships/hyperlink" Target="https://www.mitsubishi-motors.at/modelle/outlander-phev" TargetMode="External"/><Relationship Id="rId25" Type="http://schemas.openxmlformats.org/officeDocument/2006/relationships/drawing" Target="../drawings/drawing5.xml"/><Relationship Id="rId2" Type="http://schemas.openxmlformats.org/officeDocument/2006/relationships/hyperlink" Target="https://www.audi.at/q3/q3/technische-daten" TargetMode="External"/><Relationship Id="rId16" Type="http://schemas.openxmlformats.org/officeDocument/2006/relationships/hyperlink" Target="https://www.mini.at/de_AT/home/range/mini-clubman.html" TargetMode="External"/><Relationship Id="rId20" Type="http://schemas.openxmlformats.org/officeDocument/2006/relationships/hyperlink" Target="https://www.suzuki.at/auto/modelle/SX4-S-CROSS/sx4-s-cross" TargetMode="External"/><Relationship Id="rId1" Type="http://schemas.openxmlformats.org/officeDocument/2006/relationships/hyperlink" Target="http://www.topprodukte.at/index.php?pid=produktlisten&amp;topprodukte_sort_listing=x&amp;topprodukte_sort_direction=asc&amp;topprodukte_how_many_ds=2" TargetMode="External"/><Relationship Id="rId6" Type="http://schemas.openxmlformats.org/officeDocument/2006/relationships/hyperlink" Target="https://www.kia.com/at/modelle/neuer-sorento/entdecken/" TargetMode="External"/><Relationship Id="rId11" Type="http://schemas.openxmlformats.org/officeDocument/2006/relationships/hyperlink" Target="https://www.seat.at/konfigurieren-kaufen/kataloge-preislisten/tarraco" TargetMode="External"/><Relationship Id="rId24" Type="http://schemas.openxmlformats.org/officeDocument/2006/relationships/printerSettings" Target="../printerSettings/printerSettings5.bin"/><Relationship Id="rId5" Type="http://schemas.openxmlformats.org/officeDocument/2006/relationships/hyperlink" Target="https://www.honda.at/cars/new/cr-v/specifications.html" TargetMode="External"/><Relationship Id="rId15" Type="http://schemas.openxmlformats.org/officeDocument/2006/relationships/hyperlink" Target="https://www.mini.at/de_AT/home/range/mini-clubman.html" TargetMode="External"/><Relationship Id="rId23" Type="http://schemas.openxmlformats.org/officeDocument/2006/relationships/hyperlink" Target="https://www.volvocars.com/at/modelle/unsere-modelle/volvo-xc60" TargetMode="External"/><Relationship Id="rId10" Type="http://schemas.openxmlformats.org/officeDocument/2006/relationships/hyperlink" Target="https://www.seat.at/konfigurieren-kaufen/kataloge-preislisten/tarraco" TargetMode="External"/><Relationship Id="rId19" Type="http://schemas.openxmlformats.org/officeDocument/2006/relationships/hyperlink" Target="https://www.hyundai.at/ioniq-plugin" TargetMode="External"/><Relationship Id="rId4" Type="http://schemas.openxmlformats.org/officeDocument/2006/relationships/hyperlink" Target="https://www.bmw.at/de/all-models/x-series/X3/2019/bmw-x3-ueberblick.html" TargetMode="External"/><Relationship Id="rId9" Type="http://schemas.openxmlformats.org/officeDocument/2006/relationships/hyperlink" Target="https://www.mazda.at/modelle/mazda-cx-30/" TargetMode="External"/><Relationship Id="rId14" Type="http://schemas.openxmlformats.org/officeDocument/2006/relationships/hyperlink" Target="https://www.audi.at/q7/q7/faszination" TargetMode="External"/><Relationship Id="rId22" Type="http://schemas.openxmlformats.org/officeDocument/2006/relationships/hyperlink" Target="https://www.volvocars.com/at/modelle/unsere-modelle/volvo-xc6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www.ktn.gv.at/42109_DE-ktn.gv.at-THEMEN?detail=2&amp;thema=1&amp;subthema=" TargetMode="External"/><Relationship Id="rId13" Type="http://schemas.openxmlformats.org/officeDocument/2006/relationships/printerSettings" Target="../printerSettings/printerSettings7.bin"/><Relationship Id="rId3" Type="http://schemas.openxmlformats.org/officeDocument/2006/relationships/hyperlink" Target="https://www.tirol.gv.at/umwelt/energie/energiefoerderungen/" TargetMode="External"/><Relationship Id="rId7" Type="http://schemas.openxmlformats.org/officeDocument/2006/relationships/hyperlink" Target="http://www.eabgld.at/index.php?id=986" TargetMode="External"/><Relationship Id="rId12" Type="http://schemas.openxmlformats.org/officeDocument/2006/relationships/hyperlink" Target="http://www.umweltfoerderung.at/uploads/leitfaden_pv.pdf" TargetMode="External"/><Relationship Id="rId2" Type="http://schemas.openxmlformats.org/officeDocument/2006/relationships/hyperlink" Target="http://www.umweltfoerderung.at/kpc/de/home/umweltfrderung/fr_private/weitere_frderungen/landesfrderung_wien/" TargetMode="External"/><Relationship Id="rId1" Type="http://schemas.openxmlformats.org/officeDocument/2006/relationships/hyperlink" Target="http://www.vorarlberg.at/vorarlberg/wasser_energie/energie/energie/foerderungen/sub/foerderungvonphotovoltaik.htm" TargetMode="External"/><Relationship Id="rId6" Type="http://schemas.openxmlformats.org/officeDocument/2006/relationships/hyperlink" Target="http://www.esv.or.at/foerderungen/oekostrom/photovoltaik/" TargetMode="External"/><Relationship Id="rId11" Type="http://schemas.openxmlformats.org/officeDocument/2006/relationships/hyperlink" Target="https://www.meinefoerderung.at/pv2014/" TargetMode="External"/><Relationship Id="rId5" Type="http://schemas.openxmlformats.org/officeDocument/2006/relationships/hyperlink" Target="http://www.ecoplus.at/de/ecoplus/cluster-niederoesterreich/e-mobil/foerderungen-fuer-e-fahrzeuge" TargetMode="External"/><Relationship Id="rId10" Type="http://schemas.openxmlformats.org/officeDocument/2006/relationships/hyperlink" Target="http://www.lev.at/index.asp?S=main/foerderungen/gemausw.asp&amp;S1=left/left.asp" TargetMode="External"/><Relationship Id="rId4" Type="http://schemas.openxmlformats.org/officeDocument/2006/relationships/hyperlink" Target="http://www.energieaktiv.at/information-und-beratung/foerdermoeglichkeiten/direktzuschuss/solar/fotovoltaik-oekostrom/?utm_source=wes&amp;utm_medium=banner&amp;utm_campaign=weitere+Informationen" TargetMode="External"/><Relationship Id="rId9" Type="http://schemas.openxmlformats.org/officeDocument/2006/relationships/hyperlink" Target="http://www.technik.steiermark.at/cms/ziel/59689784/DE/" TargetMode="External"/><Relationship Id="rId1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22"/>
  </sheetPr>
  <dimension ref="A4:M94"/>
  <sheetViews>
    <sheetView showRowColHeaders="0" topLeftCell="A37" zoomScaleNormal="100" zoomScaleSheetLayoutView="90" workbookViewId="0">
      <selection activeCell="A6" sqref="A6:I6"/>
    </sheetView>
  </sheetViews>
  <sheetFormatPr baseColWidth="10" defaultColWidth="10.75" defaultRowHeight="12.9" x14ac:dyDescent="0.2"/>
  <cols>
    <col min="1" max="16384" width="10.75" style="53"/>
  </cols>
  <sheetData>
    <row r="4" spans="1:9" ht="9" customHeight="1" x14ac:dyDescent="0.2"/>
    <row r="5" spans="1:9" ht="18.350000000000001" x14ac:dyDescent="0.3">
      <c r="A5" s="673"/>
      <c r="B5" s="673"/>
      <c r="C5" s="673"/>
      <c r="D5" s="673"/>
      <c r="E5" s="673"/>
      <c r="F5" s="673"/>
      <c r="G5" s="673"/>
      <c r="H5" s="673"/>
      <c r="I5" s="673"/>
    </row>
    <row r="6" spans="1:9" ht="15.8" customHeight="1" x14ac:dyDescent="0.25">
      <c r="A6" s="674"/>
      <c r="B6" s="675"/>
      <c r="C6" s="675"/>
      <c r="D6" s="675"/>
      <c r="E6" s="675"/>
      <c r="F6" s="675"/>
      <c r="G6" s="675"/>
      <c r="H6" s="675"/>
      <c r="I6" s="675"/>
    </row>
    <row r="14" spans="1:9" ht="13.6" x14ac:dyDescent="0.25">
      <c r="B14" s="15"/>
      <c r="E14" s="3"/>
      <c r="F14" s="14"/>
      <c r="G14" s="3"/>
      <c r="H14" s="3"/>
    </row>
    <row r="15" spans="1:9" x14ac:dyDescent="0.2">
      <c r="E15" s="3"/>
      <c r="F15" s="14"/>
      <c r="G15" s="3"/>
      <c r="H15" s="3"/>
    </row>
    <row r="16" spans="1:9" x14ac:dyDescent="0.2">
      <c r="E16" s="3"/>
      <c r="F16" s="14"/>
      <c r="G16" s="3"/>
      <c r="H16" s="3"/>
    </row>
    <row r="17" spans="2:11" x14ac:dyDescent="0.2">
      <c r="E17" s="3"/>
      <c r="F17" s="14"/>
      <c r="G17" s="3"/>
      <c r="H17" s="3"/>
    </row>
    <row r="18" spans="2:11" x14ac:dyDescent="0.2">
      <c r="E18" s="3"/>
      <c r="F18" s="14"/>
      <c r="G18" s="3"/>
      <c r="H18" s="3"/>
    </row>
    <row r="20" spans="2:11" ht="13.6" x14ac:dyDescent="0.25">
      <c r="B20" s="15"/>
    </row>
    <row r="21" spans="2:11" x14ac:dyDescent="0.2">
      <c r="E21" s="3"/>
      <c r="F21" s="14"/>
      <c r="G21" s="3"/>
      <c r="H21" s="3"/>
      <c r="I21" s="14"/>
      <c r="J21" s="14"/>
      <c r="K21" s="3"/>
    </row>
    <row r="22" spans="2:11" x14ac:dyDescent="0.2">
      <c r="E22" s="3"/>
      <c r="F22" s="14"/>
      <c r="G22" s="3"/>
      <c r="H22" s="3"/>
      <c r="I22" s="14"/>
      <c r="J22" s="14"/>
      <c r="K22" s="3"/>
    </row>
    <row r="23" spans="2:11" x14ac:dyDescent="0.2">
      <c r="I23" s="14"/>
      <c r="J23" s="14"/>
      <c r="K23" s="3"/>
    </row>
    <row r="24" spans="2:11" x14ac:dyDescent="0.2">
      <c r="I24" s="14"/>
      <c r="J24" s="14"/>
      <c r="K24" s="3"/>
    </row>
    <row r="25" spans="2:11" x14ac:dyDescent="0.2">
      <c r="I25" s="14"/>
      <c r="J25" s="14"/>
      <c r="K25" s="3"/>
    </row>
    <row r="26" spans="2:11" x14ac:dyDescent="0.2">
      <c r="I26" s="14"/>
      <c r="J26" s="14"/>
      <c r="K26" s="3"/>
    </row>
    <row r="27" spans="2:11" ht="13.6" x14ac:dyDescent="0.25">
      <c r="B27" s="15"/>
      <c r="I27" s="14"/>
      <c r="J27" s="14"/>
      <c r="K27" s="3"/>
    </row>
    <row r="28" spans="2:11" x14ac:dyDescent="0.2">
      <c r="B28" s="58"/>
      <c r="I28" s="14"/>
      <c r="J28" s="14"/>
      <c r="K28" s="3"/>
    </row>
    <row r="29" spans="2:11" x14ac:dyDescent="0.2">
      <c r="I29" s="14"/>
      <c r="J29" s="14"/>
      <c r="K29" s="3"/>
    </row>
    <row r="33" spans="2:12" ht="13.6" x14ac:dyDescent="0.25">
      <c r="K33" s="15"/>
      <c r="L33" s="3"/>
    </row>
    <row r="34" spans="2:12" x14ac:dyDescent="0.2">
      <c r="B34" s="58"/>
      <c r="K34" s="3"/>
      <c r="L34" s="3"/>
    </row>
    <row r="35" spans="2:12" x14ac:dyDescent="0.2">
      <c r="K35" s="3"/>
      <c r="L35" s="3"/>
    </row>
    <row r="36" spans="2:12" x14ac:dyDescent="0.2">
      <c r="K36" s="3"/>
      <c r="L36" s="3"/>
    </row>
    <row r="37" spans="2:12" x14ac:dyDescent="0.2">
      <c r="K37" s="3"/>
      <c r="L37" s="3"/>
    </row>
    <row r="38" spans="2:12" x14ac:dyDescent="0.2">
      <c r="K38" s="3"/>
      <c r="L38" s="3"/>
    </row>
    <row r="39" spans="2:12" x14ac:dyDescent="0.2">
      <c r="L39" s="82"/>
    </row>
    <row r="40" spans="2:12" x14ac:dyDescent="0.2">
      <c r="B40" s="58"/>
    </row>
    <row r="69" spans="2:13" x14ac:dyDescent="0.2">
      <c r="B69" s="58"/>
      <c r="M69" s="82"/>
    </row>
    <row r="79" spans="2:13" x14ac:dyDescent="0.2">
      <c r="B79" s="58"/>
    </row>
    <row r="82" spans="2:11" ht="13.6" x14ac:dyDescent="0.25">
      <c r="B82" s="15"/>
    </row>
    <row r="88" spans="2:11" ht="13.6" x14ac:dyDescent="0.25">
      <c r="B88" s="15"/>
    </row>
    <row r="89" spans="2:11" ht="13.6" x14ac:dyDescent="0.25">
      <c r="C89" s="55"/>
      <c r="K89" s="15"/>
    </row>
    <row r="90" spans="2:11" x14ac:dyDescent="0.2">
      <c r="C90" s="55"/>
    </row>
    <row r="91" spans="2:11" x14ac:dyDescent="0.2">
      <c r="D91" s="56"/>
      <c r="F91" s="57"/>
      <c r="K91" s="54"/>
    </row>
    <row r="92" spans="2:11" x14ac:dyDescent="0.2">
      <c r="D92" s="56"/>
      <c r="F92" s="57"/>
    </row>
    <row r="94" spans="2:11" x14ac:dyDescent="0.2">
      <c r="K94" s="54"/>
    </row>
  </sheetData>
  <sheetProtection selectLockedCells="1"/>
  <mergeCells count="2">
    <mergeCell ref="A5:I5"/>
    <mergeCell ref="A6:I6"/>
  </mergeCells>
  <phoneticPr fontId="2" type="noConversion"/>
  <printOptions horizontalCentered="1"/>
  <pageMargins left="0.39370078740157483" right="0.39370078740157483" top="0.39370078740157483" bottom="0.78740157480314965" header="0.39370078740157483" footer="0.39370078740157483"/>
  <pageSetup paperSize="9" scale="95" orientation="portrait" r:id="rId1"/>
  <headerFooter alignWithMargins="0">
    <oddFooter>&amp;LPV-TOOL für private Nutzer - Benutzerhinweise&amp;RSeite &amp;P von &amp;N</oddFooter>
  </headerFooter>
  <rowBreaks count="1" manualBreakCount="1">
    <brk id="5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22"/>
  </sheetPr>
  <dimension ref="A1:CI126"/>
  <sheetViews>
    <sheetView topLeftCell="BU1" zoomScale="70" workbookViewId="0">
      <selection activeCell="A38" sqref="A38:CJ56"/>
    </sheetView>
  </sheetViews>
  <sheetFormatPr baseColWidth="10" defaultColWidth="11.375" defaultRowHeight="11.55" x14ac:dyDescent="0.2"/>
  <cols>
    <col min="1" max="1" width="26.625" style="50" bestFit="1" customWidth="1"/>
    <col min="2" max="2" width="9" style="50" bestFit="1" customWidth="1"/>
    <col min="3" max="11" width="7.375" style="50" bestFit="1" customWidth="1"/>
    <col min="12" max="12" width="7.625" style="50" bestFit="1" customWidth="1"/>
    <col min="13" max="17" width="7.375" style="50" bestFit="1" customWidth="1"/>
    <col min="18" max="18" width="9.25" style="50" customWidth="1"/>
    <col min="19" max="20" width="7" style="50" bestFit="1" customWidth="1"/>
    <col min="21" max="21" width="7.25" style="50" bestFit="1" customWidth="1"/>
    <col min="22" max="22" width="7.125" style="50" bestFit="1" customWidth="1"/>
    <col min="23" max="23" width="7" style="50" bestFit="1" customWidth="1"/>
    <col min="24" max="24" width="7.625" style="50" bestFit="1" customWidth="1"/>
    <col min="25" max="25" width="7.375" style="50" bestFit="1" customWidth="1"/>
    <col min="26" max="26" width="7" style="50" bestFit="1" customWidth="1"/>
    <col min="27" max="27" width="7.125" style="50" bestFit="1" customWidth="1"/>
    <col min="28" max="28" width="7.25" style="50" bestFit="1" customWidth="1"/>
    <col min="29" max="35" width="7.375" style="50" bestFit="1" customWidth="1"/>
    <col min="36" max="36" width="7.625" style="50" bestFit="1" customWidth="1"/>
    <col min="37" max="42" width="7.375" style="50" bestFit="1" customWidth="1"/>
    <col min="43" max="43" width="7.625" style="50" bestFit="1" customWidth="1"/>
    <col min="44" max="47" width="7.375" style="50" bestFit="1" customWidth="1"/>
    <col min="48" max="48" width="7.625" style="50" bestFit="1" customWidth="1"/>
    <col min="49" max="59" width="7.375" style="50" bestFit="1" customWidth="1"/>
    <col min="60" max="60" width="7.625" style="50" bestFit="1" customWidth="1"/>
    <col min="61" max="65" width="7.375" style="50" bestFit="1" customWidth="1"/>
    <col min="66" max="67" width="7.625" style="50" bestFit="1" customWidth="1"/>
    <col min="68" max="75" width="7.375" style="50" bestFit="1" customWidth="1"/>
    <col min="76" max="76" width="8.875" style="50" bestFit="1" customWidth="1"/>
    <col min="77" max="85" width="7.375" style="50" bestFit="1" customWidth="1"/>
    <col min="86" max="87" width="7" style="50" bestFit="1" customWidth="1"/>
    <col min="88" max="16384" width="11.375" style="50"/>
  </cols>
  <sheetData>
    <row r="1" spans="1:21" ht="26.5" customHeight="1" x14ac:dyDescent="0.25">
      <c r="A1" s="49" t="s">
        <v>1361</v>
      </c>
      <c r="E1" s="751" t="s">
        <v>1362</v>
      </c>
      <c r="F1" s="752"/>
      <c r="G1" s="752"/>
      <c r="H1" s="752"/>
      <c r="I1" s="752"/>
      <c r="J1" s="752"/>
      <c r="K1" s="752"/>
      <c r="L1" s="752"/>
      <c r="M1" s="752"/>
      <c r="N1" s="752"/>
      <c r="O1" s="752"/>
      <c r="P1" s="752"/>
      <c r="Q1" s="752"/>
      <c r="R1" s="752"/>
      <c r="S1" s="752"/>
      <c r="T1" s="752"/>
      <c r="U1" s="752"/>
    </row>
    <row r="2" spans="1:21" ht="26.5" customHeight="1" x14ac:dyDescent="0.25">
      <c r="A2" s="49"/>
    </row>
    <row r="3" spans="1:21" s="62" customFormat="1" ht="12.9" x14ac:dyDescent="0.2">
      <c r="Q3" s="1" t="s">
        <v>2256</v>
      </c>
    </row>
    <row r="4" spans="1:21" s="62" customFormat="1" x14ac:dyDescent="0.2"/>
    <row r="5" spans="1:21" s="62" customFormat="1" x14ac:dyDescent="0.2"/>
    <row r="6" spans="1:21" s="62" customFormat="1" x14ac:dyDescent="0.2"/>
    <row r="7" spans="1:21" s="62" customFormat="1" x14ac:dyDescent="0.2"/>
    <row r="8" spans="1:21" s="62" customFormat="1" x14ac:dyDescent="0.2"/>
    <row r="9" spans="1:21" s="62" customFormat="1" x14ac:dyDescent="0.2"/>
    <row r="10" spans="1:21" s="62" customFormat="1" x14ac:dyDescent="0.2"/>
    <row r="11" spans="1:21" s="62" customFormat="1" x14ac:dyDescent="0.2"/>
    <row r="12" spans="1:21" s="62" customFormat="1" x14ac:dyDescent="0.2"/>
    <row r="13" spans="1:21" s="62" customFormat="1" x14ac:dyDescent="0.2"/>
    <row r="14" spans="1:21" s="62" customFormat="1" x14ac:dyDescent="0.2"/>
    <row r="15" spans="1:21" s="62" customFormat="1" x14ac:dyDescent="0.2"/>
    <row r="16" spans="1:21" s="62" customFormat="1" x14ac:dyDescent="0.2"/>
    <row r="17" s="62" customFormat="1" x14ac:dyDescent="0.2"/>
    <row r="18" s="62" customFormat="1" x14ac:dyDescent="0.2"/>
    <row r="19" s="62" customFormat="1" x14ac:dyDescent="0.2"/>
    <row r="20" s="62" customFormat="1" x14ac:dyDescent="0.2"/>
    <row r="21" s="62" customFormat="1" x14ac:dyDescent="0.2"/>
    <row r="22" s="62" customFormat="1" x14ac:dyDescent="0.2"/>
    <row r="23" s="62" customFormat="1" x14ac:dyDescent="0.2"/>
    <row r="24" s="62" customFormat="1" x14ac:dyDescent="0.2"/>
    <row r="25" s="62" customFormat="1" x14ac:dyDescent="0.2"/>
    <row r="26" s="62" customFormat="1" x14ac:dyDescent="0.2"/>
    <row r="27" s="62" customFormat="1" x14ac:dyDescent="0.2"/>
    <row r="28" s="62" customFormat="1" x14ac:dyDescent="0.2"/>
    <row r="29" s="62" customFormat="1" x14ac:dyDescent="0.2"/>
    <row r="30" s="62" customFormat="1" x14ac:dyDescent="0.2"/>
    <row r="31" s="62" customFormat="1" x14ac:dyDescent="0.2"/>
    <row r="32" s="62" customFormat="1" x14ac:dyDescent="0.2"/>
    <row r="33" spans="1:87" s="62" customFormat="1" x14ac:dyDescent="0.2"/>
    <row r="34" spans="1:87" s="62" customFormat="1" x14ac:dyDescent="0.2"/>
    <row r="35" spans="1:87" s="62" customFormat="1" ht="13.6" x14ac:dyDescent="0.25">
      <c r="A35" s="52" t="s">
        <v>2260</v>
      </c>
    </row>
    <row r="36" spans="1:87" s="62" customFormat="1" ht="14.95" x14ac:dyDescent="0.2">
      <c r="A36" s="51" t="s">
        <v>2264</v>
      </c>
    </row>
    <row r="37" spans="1:87" s="62" customFormat="1" x14ac:dyDescent="0.2">
      <c r="A37" s="51" t="s">
        <v>2263</v>
      </c>
    </row>
    <row r="38" spans="1:87" s="62" customFormat="1" x14ac:dyDescent="0.2">
      <c r="B38" s="51"/>
    </row>
    <row r="39" spans="1:87" s="62" customFormat="1" x14ac:dyDescent="0.2">
      <c r="A39" s="63"/>
      <c r="B39" s="63" t="s">
        <v>2203</v>
      </c>
      <c r="C39" s="64">
        <v>37288</v>
      </c>
      <c r="D39" s="63" t="s">
        <v>2204</v>
      </c>
      <c r="E39" s="64">
        <v>37347</v>
      </c>
      <c r="F39" s="63" t="s">
        <v>2205</v>
      </c>
      <c r="G39" s="64">
        <v>37408</v>
      </c>
      <c r="H39" s="64">
        <v>37438</v>
      </c>
      <c r="I39" s="64">
        <v>37469</v>
      </c>
      <c r="J39" s="64">
        <v>37500</v>
      </c>
      <c r="K39" s="63" t="s">
        <v>2206</v>
      </c>
      <c r="L39" s="64">
        <v>37561</v>
      </c>
      <c r="M39" s="63" t="s">
        <v>2207</v>
      </c>
      <c r="N39" s="63" t="s">
        <v>2208</v>
      </c>
      <c r="O39" s="65">
        <v>37653</v>
      </c>
      <c r="P39" s="63" t="s">
        <v>2209</v>
      </c>
      <c r="Q39" s="65">
        <v>37712</v>
      </c>
      <c r="R39" s="63" t="s">
        <v>2210</v>
      </c>
      <c r="S39" s="65">
        <v>37773</v>
      </c>
      <c r="T39" s="65">
        <v>37803</v>
      </c>
      <c r="U39" s="65">
        <v>37834</v>
      </c>
      <c r="V39" s="65">
        <v>37865</v>
      </c>
      <c r="W39" s="63" t="s">
        <v>2211</v>
      </c>
      <c r="X39" s="65">
        <v>37926</v>
      </c>
      <c r="Y39" s="63" t="s">
        <v>2212</v>
      </c>
      <c r="Z39" s="63" t="s">
        <v>2213</v>
      </c>
      <c r="AA39" s="65">
        <v>38018</v>
      </c>
      <c r="AB39" s="63" t="s">
        <v>2214</v>
      </c>
      <c r="AC39" s="65">
        <v>38078</v>
      </c>
      <c r="AD39" s="63" t="s">
        <v>2215</v>
      </c>
      <c r="AE39" s="65">
        <v>38139</v>
      </c>
      <c r="AF39" s="65">
        <v>38169</v>
      </c>
      <c r="AG39" s="65">
        <v>38200</v>
      </c>
      <c r="AH39" s="65">
        <v>38231</v>
      </c>
      <c r="AI39" s="63" t="s">
        <v>2216</v>
      </c>
      <c r="AJ39" s="65">
        <v>38292</v>
      </c>
      <c r="AK39" s="63" t="s">
        <v>2217</v>
      </c>
      <c r="AL39" s="65" t="s">
        <v>2218</v>
      </c>
      <c r="AM39" s="65">
        <v>38384</v>
      </c>
      <c r="AN39" s="65" t="s">
        <v>2219</v>
      </c>
      <c r="AO39" s="64">
        <v>38443</v>
      </c>
      <c r="AP39" s="65" t="s">
        <v>2220</v>
      </c>
      <c r="AQ39" s="64" t="s">
        <v>2221</v>
      </c>
      <c r="AR39" s="63" t="s">
        <v>2222</v>
      </c>
      <c r="AS39" s="66">
        <v>38565</v>
      </c>
      <c r="AT39" s="66">
        <v>38596</v>
      </c>
      <c r="AU39" s="66" t="s">
        <v>2223</v>
      </c>
      <c r="AV39" s="64">
        <v>38657</v>
      </c>
      <c r="AW39" s="63" t="s">
        <v>2224</v>
      </c>
      <c r="AX39" s="64" t="s">
        <v>2226</v>
      </c>
      <c r="AY39" s="64">
        <v>38749</v>
      </c>
      <c r="AZ39" s="64" t="s">
        <v>2227</v>
      </c>
      <c r="BA39" s="66">
        <v>38808</v>
      </c>
      <c r="BB39" s="64" t="s">
        <v>2228</v>
      </c>
      <c r="BC39" s="66">
        <v>38869</v>
      </c>
      <c r="BD39" s="66">
        <v>38899</v>
      </c>
      <c r="BE39" s="66">
        <v>38930</v>
      </c>
      <c r="BF39" s="66">
        <v>38961</v>
      </c>
      <c r="BG39" s="66" t="s">
        <v>2229</v>
      </c>
      <c r="BH39" s="66">
        <v>39022</v>
      </c>
      <c r="BI39" s="66" t="s">
        <v>2230</v>
      </c>
      <c r="BJ39" s="66" t="s">
        <v>2231</v>
      </c>
      <c r="BK39" s="66">
        <v>39114</v>
      </c>
      <c r="BL39" s="66" t="s">
        <v>2232</v>
      </c>
      <c r="BM39" s="66">
        <v>39173</v>
      </c>
      <c r="BN39" s="66" t="s">
        <v>2233</v>
      </c>
      <c r="BO39" s="66" t="s">
        <v>2234</v>
      </c>
      <c r="BP39" s="63" t="s">
        <v>2235</v>
      </c>
      <c r="BQ39" s="64">
        <v>39295</v>
      </c>
      <c r="BR39" s="64">
        <v>39326</v>
      </c>
      <c r="BS39" s="63" t="s">
        <v>2236</v>
      </c>
      <c r="BT39" s="64">
        <v>39387</v>
      </c>
      <c r="BU39" s="64">
        <v>39417</v>
      </c>
      <c r="BV39" s="63" t="s">
        <v>2237</v>
      </c>
      <c r="BW39" s="64">
        <v>39479</v>
      </c>
      <c r="BX39" s="64" t="s">
        <v>2238</v>
      </c>
      <c r="BY39" s="64">
        <v>39539</v>
      </c>
      <c r="BZ39" s="64">
        <v>39569</v>
      </c>
      <c r="CA39" s="64">
        <v>39600</v>
      </c>
      <c r="CB39" s="64">
        <v>39630</v>
      </c>
      <c r="CC39" s="64">
        <v>39661</v>
      </c>
      <c r="CD39" s="64">
        <v>39692</v>
      </c>
      <c r="CE39" s="64">
        <v>39722</v>
      </c>
      <c r="CF39" s="64">
        <v>39753</v>
      </c>
      <c r="CG39" s="64">
        <v>39783</v>
      </c>
      <c r="CH39" s="63" t="s">
        <v>2239</v>
      </c>
      <c r="CI39" s="64">
        <v>39845</v>
      </c>
    </row>
    <row r="40" spans="1:87" s="62" customFormat="1" x14ac:dyDescent="0.2">
      <c r="A40" s="66"/>
      <c r="B40" s="66">
        <v>37257</v>
      </c>
      <c r="C40" s="66">
        <v>37288</v>
      </c>
      <c r="D40" s="66">
        <v>37316</v>
      </c>
      <c r="E40" s="66">
        <v>37347</v>
      </c>
      <c r="F40" s="66">
        <v>37377</v>
      </c>
      <c r="G40" s="66">
        <v>37408</v>
      </c>
      <c r="H40" s="66">
        <v>37438</v>
      </c>
      <c r="I40" s="66">
        <v>37469</v>
      </c>
      <c r="J40" s="66">
        <v>37500</v>
      </c>
      <c r="K40" s="66">
        <v>37530</v>
      </c>
      <c r="L40" s="66">
        <v>37561</v>
      </c>
      <c r="M40" s="66">
        <v>37591</v>
      </c>
      <c r="N40" s="66">
        <v>37622</v>
      </c>
      <c r="O40" s="66">
        <v>37653</v>
      </c>
      <c r="P40" s="66">
        <v>37681</v>
      </c>
      <c r="Q40" s="66">
        <v>37712</v>
      </c>
      <c r="R40" s="66">
        <v>37742</v>
      </c>
      <c r="S40" s="66">
        <v>37773</v>
      </c>
      <c r="T40" s="66">
        <v>37803</v>
      </c>
      <c r="U40" s="66">
        <v>37834</v>
      </c>
      <c r="V40" s="66">
        <v>37865</v>
      </c>
      <c r="W40" s="66">
        <v>37895</v>
      </c>
      <c r="X40" s="66">
        <v>37926</v>
      </c>
      <c r="Y40" s="66">
        <v>37956</v>
      </c>
      <c r="Z40" s="66">
        <v>37987</v>
      </c>
      <c r="AA40" s="66">
        <v>38018</v>
      </c>
      <c r="AB40" s="66">
        <v>38047</v>
      </c>
      <c r="AC40" s="66">
        <v>38078</v>
      </c>
      <c r="AD40" s="66">
        <v>38108</v>
      </c>
      <c r="AE40" s="66">
        <v>38139</v>
      </c>
      <c r="AF40" s="66">
        <v>38169</v>
      </c>
      <c r="AG40" s="66">
        <v>38200</v>
      </c>
      <c r="AH40" s="66">
        <v>38231</v>
      </c>
      <c r="AI40" s="66">
        <v>38261</v>
      </c>
      <c r="AJ40" s="66">
        <v>38292</v>
      </c>
      <c r="AK40" s="66">
        <v>38322</v>
      </c>
      <c r="AL40" s="66">
        <v>38353</v>
      </c>
      <c r="AM40" s="66">
        <v>38384</v>
      </c>
      <c r="AN40" s="66">
        <v>38412</v>
      </c>
      <c r="AO40" s="66">
        <v>38443</v>
      </c>
      <c r="AP40" s="66">
        <v>38473</v>
      </c>
      <c r="AQ40" s="66">
        <v>38504</v>
      </c>
      <c r="AR40" s="66">
        <v>38534</v>
      </c>
      <c r="AS40" s="66">
        <v>38565</v>
      </c>
      <c r="AT40" s="66">
        <v>38596</v>
      </c>
      <c r="AU40" s="66">
        <v>38626</v>
      </c>
      <c r="AV40" s="66">
        <v>38657</v>
      </c>
      <c r="AW40" s="66">
        <v>38687</v>
      </c>
      <c r="AX40" s="66">
        <v>38718</v>
      </c>
      <c r="AY40" s="66">
        <v>38749</v>
      </c>
      <c r="AZ40" s="66">
        <v>38777</v>
      </c>
      <c r="BA40" s="66">
        <v>38808</v>
      </c>
      <c r="BB40" s="66">
        <v>38838</v>
      </c>
      <c r="BC40" s="66">
        <v>38869</v>
      </c>
      <c r="BD40" s="66">
        <v>38899</v>
      </c>
      <c r="BE40" s="66">
        <v>38930</v>
      </c>
      <c r="BF40" s="66">
        <v>38961</v>
      </c>
      <c r="BG40" s="66">
        <v>38991</v>
      </c>
      <c r="BH40" s="66">
        <v>39022</v>
      </c>
      <c r="BI40" s="66">
        <v>39052</v>
      </c>
      <c r="BJ40" s="66" t="s">
        <v>2240</v>
      </c>
      <c r="BK40" s="66">
        <v>39114</v>
      </c>
      <c r="BL40" s="66">
        <v>39142</v>
      </c>
      <c r="BM40" s="66">
        <v>39173</v>
      </c>
      <c r="BN40" s="66">
        <v>39203</v>
      </c>
      <c r="BO40" s="66">
        <v>39234</v>
      </c>
      <c r="BP40" s="64">
        <v>39264</v>
      </c>
      <c r="BQ40" s="64">
        <v>39295</v>
      </c>
      <c r="BR40" s="64">
        <v>39326</v>
      </c>
      <c r="BS40" s="63" t="s">
        <v>2236</v>
      </c>
      <c r="BT40" s="64">
        <v>39387</v>
      </c>
      <c r="BU40" s="64">
        <v>39417</v>
      </c>
      <c r="BV40" s="63" t="s">
        <v>2237</v>
      </c>
      <c r="BW40" s="64">
        <v>39479</v>
      </c>
      <c r="BX40" s="64">
        <v>39508</v>
      </c>
      <c r="BY40" s="64">
        <v>39539</v>
      </c>
      <c r="BZ40" s="64">
        <v>39569</v>
      </c>
      <c r="CA40" s="64">
        <v>39600</v>
      </c>
      <c r="CB40" s="64">
        <v>39630</v>
      </c>
      <c r="CC40" s="64">
        <v>39661</v>
      </c>
      <c r="CD40" s="64">
        <v>39692</v>
      </c>
      <c r="CE40" s="64">
        <v>39722</v>
      </c>
      <c r="CF40" s="64">
        <v>39753</v>
      </c>
      <c r="CG40" s="63" t="s">
        <v>2241</v>
      </c>
      <c r="CH40" s="63" t="s">
        <v>2239</v>
      </c>
      <c r="CI40" s="64">
        <v>39845</v>
      </c>
    </row>
    <row r="41" spans="1:87" s="62" customFormat="1" x14ac:dyDescent="0.2">
      <c r="A41" s="67" t="s">
        <v>2242</v>
      </c>
      <c r="B41" s="68">
        <v>16.241714285714288</v>
      </c>
      <c r="C41" s="68">
        <v>16.241714285714288</v>
      </c>
      <c r="D41" s="68">
        <v>16.241714285714288</v>
      </c>
      <c r="E41" s="68">
        <v>16.242171428571428</v>
      </c>
      <c r="F41" s="68">
        <v>16.242171428571428</v>
      </c>
      <c r="G41" s="68">
        <v>16.24182857142857</v>
      </c>
      <c r="H41" s="68">
        <v>16.24182857142857</v>
      </c>
      <c r="I41" s="68">
        <v>16.24182857142857</v>
      </c>
      <c r="J41" s="68">
        <v>16.24182857142857</v>
      </c>
      <c r="K41" s="68">
        <v>16.413257142857141</v>
      </c>
      <c r="L41" s="68">
        <v>16.413257142857141</v>
      </c>
      <c r="M41" s="68">
        <v>16.413257142857141</v>
      </c>
      <c r="N41" s="68">
        <v>16.570971428571426</v>
      </c>
      <c r="O41" s="68">
        <v>16.515085714285714</v>
      </c>
      <c r="P41" s="68">
        <v>16.515085714285714</v>
      </c>
      <c r="Q41" s="68">
        <v>16.515085714285714</v>
      </c>
      <c r="R41" s="68">
        <v>16.391657142857145</v>
      </c>
      <c r="S41" s="68">
        <v>16.391657142857145</v>
      </c>
      <c r="T41" s="68">
        <v>16.391657142857145</v>
      </c>
      <c r="U41" s="68">
        <v>16.391657142857145</v>
      </c>
      <c r="V41" s="68">
        <v>16.391657142857145</v>
      </c>
      <c r="W41" s="68">
        <v>16.391657142857145</v>
      </c>
      <c r="X41" s="68">
        <v>16.391657142857145</v>
      </c>
      <c r="Y41" s="68">
        <v>16.391657142857145</v>
      </c>
      <c r="Z41" s="68">
        <v>16.385828571428572</v>
      </c>
      <c r="AA41" s="68">
        <v>16.385828571428572</v>
      </c>
      <c r="AB41" s="68">
        <v>16.385828571428572</v>
      </c>
      <c r="AC41" s="68">
        <v>16.505485714285715</v>
      </c>
      <c r="AD41" s="68">
        <v>16.505485714285715</v>
      </c>
      <c r="AE41" s="68">
        <v>16.505485714285715</v>
      </c>
      <c r="AF41" s="68">
        <v>16.505485714285715</v>
      </c>
      <c r="AG41" s="68">
        <v>16.505485714285715</v>
      </c>
      <c r="AH41" s="68">
        <v>16.50582857142857</v>
      </c>
      <c r="AI41" s="68">
        <v>16.50582857142857</v>
      </c>
      <c r="AJ41" s="68">
        <v>16.50582857142857</v>
      </c>
      <c r="AK41" s="68">
        <v>16.50582857142857</v>
      </c>
      <c r="AL41" s="68">
        <v>16.50582857142857</v>
      </c>
      <c r="AM41" s="68">
        <v>16.50582857142857</v>
      </c>
      <c r="AN41" s="68">
        <v>16.521257142857145</v>
      </c>
      <c r="AO41" s="68">
        <v>16.521257142857145</v>
      </c>
      <c r="AP41" s="68">
        <v>16.521257142857145</v>
      </c>
      <c r="AQ41" s="68">
        <v>15.2508571428571</v>
      </c>
      <c r="AR41" s="68">
        <v>15.627428571428572</v>
      </c>
      <c r="AS41" s="68">
        <v>15.627428571428572</v>
      </c>
      <c r="AT41" s="68">
        <v>15.627428571428572</v>
      </c>
      <c r="AU41" s="68">
        <v>15.627428571428572</v>
      </c>
      <c r="AV41" s="68">
        <v>15.627428571428601</v>
      </c>
      <c r="AW41" s="68">
        <v>15.627428571428601</v>
      </c>
      <c r="AX41" s="68">
        <v>15.293428571428571</v>
      </c>
      <c r="AY41" s="68">
        <v>15.807771428571426</v>
      </c>
      <c r="AZ41" s="68">
        <v>15.807771428571426</v>
      </c>
      <c r="BA41" s="68">
        <v>15.807771428571426</v>
      </c>
      <c r="BB41" s="68">
        <v>15.807771428571426</v>
      </c>
      <c r="BC41" s="68">
        <v>15.807771428571426</v>
      </c>
      <c r="BD41" s="68">
        <v>15.783428571428571</v>
      </c>
      <c r="BE41" s="68">
        <v>15.783428571428571</v>
      </c>
      <c r="BF41" s="68">
        <v>15.783428571428571</v>
      </c>
      <c r="BG41" s="68">
        <v>15.783428571428599</v>
      </c>
      <c r="BH41" s="68">
        <v>15.783428571428599</v>
      </c>
      <c r="BI41" s="68">
        <v>15.783428571428701</v>
      </c>
      <c r="BJ41" s="68">
        <v>16.995999999999999</v>
      </c>
      <c r="BK41" s="68">
        <v>16.995999999999999</v>
      </c>
      <c r="BL41" s="68">
        <v>16.995999999999999</v>
      </c>
      <c r="BM41" s="68">
        <v>16.995999999999999</v>
      </c>
      <c r="BN41" s="68">
        <v>16.995999999999999</v>
      </c>
      <c r="BO41" s="68">
        <v>16.995999999999999</v>
      </c>
      <c r="BP41" s="63">
        <v>17</v>
      </c>
      <c r="BQ41" s="63">
        <v>17</v>
      </c>
      <c r="BR41" s="63">
        <v>17</v>
      </c>
      <c r="BS41" s="63">
        <v>17</v>
      </c>
      <c r="BT41" s="63">
        <v>17</v>
      </c>
      <c r="BU41" s="63">
        <v>16.55</v>
      </c>
      <c r="BV41" s="63">
        <v>16.940000000000001</v>
      </c>
      <c r="BW41" s="63">
        <v>16.940000000000001</v>
      </c>
      <c r="BX41" s="63">
        <v>16.940000000000001</v>
      </c>
      <c r="BY41" s="63">
        <v>16.940000000000001</v>
      </c>
      <c r="BZ41" s="63">
        <v>16.940000000000001</v>
      </c>
      <c r="CA41" s="63">
        <v>17.66</v>
      </c>
      <c r="CB41" s="63">
        <v>17.66</v>
      </c>
      <c r="CC41" s="63">
        <v>17.66</v>
      </c>
      <c r="CD41" s="63">
        <v>17.66</v>
      </c>
      <c r="CE41" s="63">
        <v>17.66</v>
      </c>
      <c r="CF41" s="63">
        <v>17.559999999999999</v>
      </c>
      <c r="CG41" s="63">
        <v>17.559999999999999</v>
      </c>
      <c r="CH41" s="63">
        <v>17.149999999999999</v>
      </c>
      <c r="CI41" s="63">
        <v>16.420000000000002</v>
      </c>
    </row>
    <row r="42" spans="1:87" s="62" customFormat="1" x14ac:dyDescent="0.2">
      <c r="A42" s="67" t="s">
        <v>2243</v>
      </c>
      <c r="B42" s="68">
        <v>16.277142857142859</v>
      </c>
      <c r="C42" s="68">
        <v>16.277142857142859</v>
      </c>
      <c r="D42" s="68">
        <v>16.381142857142859</v>
      </c>
      <c r="E42" s="68">
        <v>16.381028571428573</v>
      </c>
      <c r="F42" s="68">
        <v>15.712800000000003</v>
      </c>
      <c r="G42" s="68">
        <v>15.712800000000003</v>
      </c>
      <c r="H42" s="68">
        <v>15.712800000000003</v>
      </c>
      <c r="I42" s="68">
        <v>15.712800000000003</v>
      </c>
      <c r="J42" s="68">
        <v>15.712800000000003</v>
      </c>
      <c r="K42" s="68">
        <v>15.712800000000003</v>
      </c>
      <c r="L42" s="68">
        <v>15.712800000000003</v>
      </c>
      <c r="M42" s="68">
        <v>15.712800000000003</v>
      </c>
      <c r="N42" s="68">
        <v>16.087542857142857</v>
      </c>
      <c r="O42" s="68">
        <v>16.029600000000002</v>
      </c>
      <c r="P42" s="68">
        <v>16.029600000000002</v>
      </c>
      <c r="Q42" s="68">
        <v>16.029600000000002</v>
      </c>
      <c r="R42" s="68">
        <v>16.029600000000002</v>
      </c>
      <c r="S42" s="68">
        <v>16.029600000000002</v>
      </c>
      <c r="T42" s="68">
        <v>16.029600000000002</v>
      </c>
      <c r="U42" s="68">
        <v>16.029600000000002</v>
      </c>
      <c r="V42" s="68">
        <v>16.029600000000002</v>
      </c>
      <c r="W42" s="68">
        <v>16.029600000000002</v>
      </c>
      <c r="X42" s="68">
        <v>15.526285714285713</v>
      </c>
      <c r="Y42" s="68">
        <v>15.526285714285713</v>
      </c>
      <c r="Z42" s="68">
        <v>15.852000000000002</v>
      </c>
      <c r="AA42" s="68">
        <v>15.852000000000002</v>
      </c>
      <c r="AB42" s="68">
        <v>15.852000000000002</v>
      </c>
      <c r="AC42" s="68">
        <v>15.971657142857143</v>
      </c>
      <c r="AD42" s="68">
        <v>15.971657142857143</v>
      </c>
      <c r="AE42" s="68">
        <v>15.971657142857143</v>
      </c>
      <c r="AF42" s="68">
        <v>15.971657142857143</v>
      </c>
      <c r="AG42" s="68">
        <v>15.971657142857143</v>
      </c>
      <c r="AH42" s="68">
        <v>15.972</v>
      </c>
      <c r="AI42" s="68">
        <v>15.972</v>
      </c>
      <c r="AJ42" s="68">
        <v>15.972</v>
      </c>
      <c r="AK42" s="68">
        <v>15.972</v>
      </c>
      <c r="AL42" s="68">
        <v>15.972</v>
      </c>
      <c r="AM42" s="68">
        <v>15.972</v>
      </c>
      <c r="AN42" s="68">
        <v>15.98742857142857</v>
      </c>
      <c r="AO42" s="68">
        <v>15.98742857142857</v>
      </c>
      <c r="AP42" s="68">
        <v>15.987428571428573</v>
      </c>
      <c r="AQ42" s="68">
        <v>15.0394285714285</v>
      </c>
      <c r="AR42" s="68">
        <v>15.415885714285716</v>
      </c>
      <c r="AS42" s="68">
        <v>15.415885714285716</v>
      </c>
      <c r="AT42" s="68">
        <v>15.415885714285716</v>
      </c>
      <c r="AU42" s="68">
        <v>15.415885714285716</v>
      </c>
      <c r="AV42" s="68">
        <v>15.4158857142857</v>
      </c>
      <c r="AW42" s="68">
        <v>15.4158857142857</v>
      </c>
      <c r="AX42" s="68">
        <v>15.225714285714284</v>
      </c>
      <c r="AY42" s="68">
        <v>15.739885714285712</v>
      </c>
      <c r="AZ42" s="68">
        <v>15.739885714285712</v>
      </c>
      <c r="BA42" s="68">
        <v>15.739885714285712</v>
      </c>
      <c r="BB42" s="68">
        <v>15.739885714285712</v>
      </c>
      <c r="BC42" s="68">
        <v>15.739885714285712</v>
      </c>
      <c r="BD42" s="68">
        <v>15.696</v>
      </c>
      <c r="BE42" s="68">
        <v>15.696</v>
      </c>
      <c r="BF42" s="68">
        <v>15.696</v>
      </c>
      <c r="BG42" s="68">
        <v>15.696</v>
      </c>
      <c r="BH42" s="68">
        <v>15.696</v>
      </c>
      <c r="BI42" s="68">
        <v>15.696</v>
      </c>
      <c r="BJ42" s="68">
        <v>16.68542857142857</v>
      </c>
      <c r="BK42" s="68">
        <v>16.68542857142857</v>
      </c>
      <c r="BL42" s="68">
        <v>16.68542857142857</v>
      </c>
      <c r="BM42" s="68">
        <v>16.68542857142857</v>
      </c>
      <c r="BN42" s="68">
        <v>16.68542857142857</v>
      </c>
      <c r="BO42" s="68">
        <v>16.68542857142857</v>
      </c>
      <c r="BP42" s="63">
        <v>16.690000000000001</v>
      </c>
      <c r="BQ42" s="63">
        <v>16.690000000000001</v>
      </c>
      <c r="BR42" s="63">
        <v>16.690000000000001</v>
      </c>
      <c r="BS42" s="63">
        <v>16.690000000000001</v>
      </c>
      <c r="BT42" s="63">
        <v>16.690000000000001</v>
      </c>
      <c r="BU42" s="63">
        <v>16.239999999999998</v>
      </c>
      <c r="BV42" s="63">
        <v>16.61</v>
      </c>
      <c r="BW42" s="63">
        <v>16.61</v>
      </c>
      <c r="BX42" s="63">
        <v>16.61</v>
      </c>
      <c r="BY42" s="63">
        <v>16.61</v>
      </c>
      <c r="BZ42" s="63">
        <v>16.61</v>
      </c>
      <c r="CA42" s="63">
        <v>17.329999999999998</v>
      </c>
      <c r="CB42" s="63">
        <v>17.329999999999998</v>
      </c>
      <c r="CC42" s="63">
        <v>17.329999999999998</v>
      </c>
      <c r="CD42" s="63">
        <v>17.329999999999998</v>
      </c>
      <c r="CE42" s="63">
        <v>17.329999999999998</v>
      </c>
      <c r="CF42" s="63">
        <v>17.23</v>
      </c>
      <c r="CG42" s="63">
        <v>17.23</v>
      </c>
      <c r="CH42" s="63">
        <v>17.149999999999999</v>
      </c>
      <c r="CI42" s="63">
        <v>16.45</v>
      </c>
    </row>
    <row r="43" spans="1:87" s="62" customFormat="1" x14ac:dyDescent="0.2">
      <c r="A43" s="67" t="s">
        <v>2244</v>
      </c>
      <c r="B43" s="68">
        <v>15.751714285714284</v>
      </c>
      <c r="C43" s="68">
        <v>15.751714285714284</v>
      </c>
      <c r="D43" s="68">
        <v>15.741142857142858</v>
      </c>
      <c r="E43" s="68">
        <v>15.741257142857142</v>
      </c>
      <c r="F43" s="68">
        <v>15.741257142857142</v>
      </c>
      <c r="G43" s="68">
        <v>15.521485714285717</v>
      </c>
      <c r="H43" s="68">
        <v>15.521485714285717</v>
      </c>
      <c r="I43" s="68">
        <v>15.521485714285717</v>
      </c>
      <c r="J43" s="68">
        <v>15.418285714285714</v>
      </c>
      <c r="K43" s="68">
        <v>15.418285714285714</v>
      </c>
      <c r="L43" s="68">
        <v>15.418285714285714</v>
      </c>
      <c r="M43" s="68">
        <v>15.418285714285714</v>
      </c>
      <c r="N43" s="68">
        <v>15.285257142857141</v>
      </c>
      <c r="O43" s="68">
        <v>15.285257142857141</v>
      </c>
      <c r="P43" s="68">
        <v>15.567428571428572</v>
      </c>
      <c r="Q43" s="68">
        <v>15.79337142857143</v>
      </c>
      <c r="R43" s="68">
        <v>15.79337142857143</v>
      </c>
      <c r="S43" s="68">
        <v>15.79337142857143</v>
      </c>
      <c r="T43" s="68">
        <v>15.79337142857143</v>
      </c>
      <c r="U43" s="68">
        <v>15.79337142857143</v>
      </c>
      <c r="V43" s="68">
        <v>15.79337142857143</v>
      </c>
      <c r="W43" s="68">
        <v>15.79337142857143</v>
      </c>
      <c r="X43" s="68">
        <v>15.35417142857143</v>
      </c>
      <c r="Y43" s="68">
        <v>15.35417142857143</v>
      </c>
      <c r="Z43" s="68">
        <v>15.679885714285716</v>
      </c>
      <c r="AA43" s="68">
        <v>15.679885714285716</v>
      </c>
      <c r="AB43" s="68">
        <v>15.679885714285716</v>
      </c>
      <c r="AC43" s="68">
        <v>15.799542857142859</v>
      </c>
      <c r="AD43" s="68">
        <v>15.799542857142859</v>
      </c>
      <c r="AE43" s="68">
        <v>15.799542857142859</v>
      </c>
      <c r="AF43" s="68">
        <v>15.799542857142859</v>
      </c>
      <c r="AG43" s="68">
        <v>15.799542857142859</v>
      </c>
      <c r="AH43" s="68">
        <v>15.799885714285713</v>
      </c>
      <c r="AI43" s="68">
        <v>15.799885714285713</v>
      </c>
      <c r="AJ43" s="68">
        <v>15.799885714285713</v>
      </c>
      <c r="AK43" s="68">
        <v>15.799885714285713</v>
      </c>
      <c r="AL43" s="68">
        <v>15.799885714285713</v>
      </c>
      <c r="AM43" s="68">
        <v>15.078171428571428</v>
      </c>
      <c r="AN43" s="68">
        <v>15.078171428571428</v>
      </c>
      <c r="AO43" s="68">
        <v>15.078171428571428</v>
      </c>
      <c r="AP43" s="68">
        <v>15.078171428571432</v>
      </c>
      <c r="AQ43" s="68">
        <v>15.078171428571432</v>
      </c>
      <c r="AR43" s="68">
        <v>15.454628571428572</v>
      </c>
      <c r="AS43" s="68">
        <v>15.454628571428572</v>
      </c>
      <c r="AT43" s="68">
        <v>15.454628571428572</v>
      </c>
      <c r="AU43" s="68">
        <v>15.454628571428572</v>
      </c>
      <c r="AV43" s="68">
        <v>15.4546285714286</v>
      </c>
      <c r="AW43" s="68">
        <v>15.4546285714286</v>
      </c>
      <c r="AX43" s="68">
        <v>15.097142857142856</v>
      </c>
      <c r="AY43" s="68">
        <v>15.611314285714284</v>
      </c>
      <c r="AZ43" s="68">
        <v>15.611314285714284</v>
      </c>
      <c r="BA43" s="68">
        <v>15.611314285714284</v>
      </c>
      <c r="BB43" s="68">
        <v>15.611314285714284</v>
      </c>
      <c r="BC43" s="68">
        <v>15.611314285714284</v>
      </c>
      <c r="BD43" s="68">
        <v>15.553714285714285</v>
      </c>
      <c r="BE43" s="68">
        <v>15.553714285714285</v>
      </c>
      <c r="BF43" s="68">
        <v>15.553714285714285</v>
      </c>
      <c r="BG43" s="68">
        <v>15.5537142857143</v>
      </c>
      <c r="BH43" s="68">
        <v>15.5537142857143</v>
      </c>
      <c r="BI43" s="68">
        <v>15.5537142857143</v>
      </c>
      <c r="BJ43" s="68">
        <v>16.483428571428572</v>
      </c>
      <c r="BK43" s="68">
        <v>16.483428571428572</v>
      </c>
      <c r="BL43" s="68">
        <v>16.483428571428572</v>
      </c>
      <c r="BM43" s="68">
        <v>16.483428571428572</v>
      </c>
      <c r="BN43" s="68">
        <v>16.483428571428572</v>
      </c>
      <c r="BO43" s="68">
        <v>16.483428571428572</v>
      </c>
      <c r="BP43" s="63">
        <v>16.48</v>
      </c>
      <c r="BQ43" s="63">
        <v>16.48</v>
      </c>
      <c r="BR43" s="63">
        <v>16.48</v>
      </c>
      <c r="BS43" s="63">
        <v>16.48</v>
      </c>
      <c r="BT43" s="63">
        <v>16.48</v>
      </c>
      <c r="BU43" s="63">
        <v>16.04</v>
      </c>
      <c r="BV43" s="63">
        <v>16.41</v>
      </c>
      <c r="BW43" s="63">
        <v>16.41</v>
      </c>
      <c r="BX43" s="63">
        <v>16.41</v>
      </c>
      <c r="BY43" s="63">
        <v>16.41</v>
      </c>
      <c r="BZ43" s="63">
        <v>16.41</v>
      </c>
      <c r="CA43" s="63">
        <v>17.13</v>
      </c>
      <c r="CB43" s="63">
        <v>17.13</v>
      </c>
      <c r="CC43" s="63">
        <v>17.13</v>
      </c>
      <c r="CD43" s="63">
        <v>17.13</v>
      </c>
      <c r="CE43" s="63">
        <v>17.13</v>
      </c>
      <c r="CF43" s="63">
        <v>17.03</v>
      </c>
      <c r="CG43" s="63">
        <v>17.03</v>
      </c>
      <c r="CH43" s="63">
        <v>16.91</v>
      </c>
      <c r="CI43" s="63">
        <v>16.16</v>
      </c>
    </row>
    <row r="44" spans="1:87" s="62" customFormat="1" x14ac:dyDescent="0.2">
      <c r="A44" s="67" t="s">
        <v>2245</v>
      </c>
      <c r="B44" s="68">
        <v>14.736857142857142</v>
      </c>
      <c r="C44" s="68">
        <v>14.736857142857142</v>
      </c>
      <c r="D44" s="68">
        <v>14.736857142857142</v>
      </c>
      <c r="E44" s="68">
        <v>14.736685714285715</v>
      </c>
      <c r="F44" s="68">
        <v>14.736685714285715</v>
      </c>
      <c r="G44" s="68">
        <v>14.736685714285715</v>
      </c>
      <c r="H44" s="68">
        <v>14.736685714285715</v>
      </c>
      <c r="I44" s="68">
        <v>14.736685714285715</v>
      </c>
      <c r="J44" s="68">
        <v>14.736685714285715</v>
      </c>
      <c r="K44" s="68">
        <v>14.736685714285715</v>
      </c>
      <c r="L44" s="68">
        <v>14.736685714285715</v>
      </c>
      <c r="M44" s="68">
        <v>14.736685714285715</v>
      </c>
      <c r="N44" s="68">
        <v>15.40217142857143</v>
      </c>
      <c r="O44" s="68">
        <v>15.344228571428571</v>
      </c>
      <c r="P44" s="68">
        <v>15.344228571428571</v>
      </c>
      <c r="Q44" s="68">
        <v>15.344228571428571</v>
      </c>
      <c r="R44" s="68">
        <v>15.344228571428571</v>
      </c>
      <c r="S44" s="68">
        <v>15.344228571428571</v>
      </c>
      <c r="T44" s="68">
        <v>15.344228571428571</v>
      </c>
      <c r="U44" s="68">
        <v>15.344228571428571</v>
      </c>
      <c r="V44" s="68">
        <v>15.344228571428571</v>
      </c>
      <c r="W44" s="68">
        <v>15.344228571428571</v>
      </c>
      <c r="X44" s="68">
        <v>15.34937142857143</v>
      </c>
      <c r="Y44" s="68">
        <v>15.34937142857143</v>
      </c>
      <c r="Z44" s="68">
        <v>15.91954285714286</v>
      </c>
      <c r="AA44" s="68">
        <v>15.91954285714286</v>
      </c>
      <c r="AB44" s="68">
        <v>15.91954285714286</v>
      </c>
      <c r="AC44" s="68">
        <v>16.039200000000001</v>
      </c>
      <c r="AD44" s="68">
        <v>16.039200000000001</v>
      </c>
      <c r="AE44" s="68">
        <v>16.039200000000001</v>
      </c>
      <c r="AF44" s="68">
        <v>16.039200000000001</v>
      </c>
      <c r="AG44" s="68">
        <v>16.030285714285714</v>
      </c>
      <c r="AH44" s="68">
        <v>16.030628571428576</v>
      </c>
      <c r="AI44" s="68">
        <v>15.489942857142857</v>
      </c>
      <c r="AJ44" s="68">
        <v>15.727885714285717</v>
      </c>
      <c r="AK44" s="68">
        <v>15.727885714285717</v>
      </c>
      <c r="AL44" s="68">
        <v>15.727885714285717</v>
      </c>
      <c r="AM44" s="68">
        <v>15.5214</v>
      </c>
      <c r="AN44" s="68">
        <v>15.215314285714287</v>
      </c>
      <c r="AO44" s="68">
        <v>15.256114285714288</v>
      </c>
      <c r="AP44" s="68">
        <v>15.256114285714288</v>
      </c>
      <c r="AQ44" s="68">
        <v>15.256114285714288</v>
      </c>
      <c r="AR44" s="68">
        <v>15.125142857142857</v>
      </c>
      <c r="AS44" s="68">
        <v>15.125142857142857</v>
      </c>
      <c r="AT44" s="68">
        <v>15.125142857142857</v>
      </c>
      <c r="AU44" s="68">
        <v>15.125142857142857</v>
      </c>
      <c r="AV44" s="68">
        <v>15.125142857142899</v>
      </c>
      <c r="AW44" s="68">
        <v>15.125142857142899</v>
      </c>
      <c r="AX44" s="68">
        <v>15.003428571428572</v>
      </c>
      <c r="AY44" s="68">
        <v>15.517714285714286</v>
      </c>
      <c r="AZ44" s="68">
        <v>15.517714285714286</v>
      </c>
      <c r="BA44" s="68">
        <v>15.517714285714286</v>
      </c>
      <c r="BB44" s="68">
        <v>15.517714285714286</v>
      </c>
      <c r="BC44" s="68">
        <v>15.517714285714286</v>
      </c>
      <c r="BD44" s="68">
        <v>15.476914285714287</v>
      </c>
      <c r="BE44" s="68">
        <v>15.476914285714287</v>
      </c>
      <c r="BF44" s="68">
        <v>15.476914285714287</v>
      </c>
      <c r="BG44" s="68">
        <v>15.476914285714299</v>
      </c>
      <c r="BH44" s="68">
        <v>15.476914285714299</v>
      </c>
      <c r="BI44" s="68">
        <v>15.476914285714299</v>
      </c>
      <c r="BJ44" s="68">
        <v>16.722857142857141</v>
      </c>
      <c r="BK44" s="68">
        <v>16.722857142857141</v>
      </c>
      <c r="BL44" s="68">
        <v>16.722857142857141</v>
      </c>
      <c r="BM44" s="68">
        <v>16.722857142857141</v>
      </c>
      <c r="BN44" s="68">
        <v>16.722857142857141</v>
      </c>
      <c r="BO44" s="68">
        <v>16.722857142857141</v>
      </c>
      <c r="BP44" s="63">
        <v>16.72</v>
      </c>
      <c r="BQ44" s="63">
        <v>16.72</v>
      </c>
      <c r="BR44" s="63">
        <v>16.72</v>
      </c>
      <c r="BS44" s="63">
        <v>16.72</v>
      </c>
      <c r="BT44" s="63">
        <v>16.72</v>
      </c>
      <c r="BU44" s="63">
        <v>16.28</v>
      </c>
      <c r="BV44" s="63">
        <v>16.739999999999998</v>
      </c>
      <c r="BW44" s="63">
        <v>16.739999999999998</v>
      </c>
      <c r="BX44" s="63">
        <v>16.739999999999998</v>
      </c>
      <c r="BY44" s="63">
        <v>16.739999999999998</v>
      </c>
      <c r="BZ44" s="63">
        <v>16.739999999999998</v>
      </c>
      <c r="CA44" s="63">
        <v>17.46</v>
      </c>
      <c r="CB44" s="63">
        <v>17.46</v>
      </c>
      <c r="CC44" s="63">
        <v>17.46</v>
      </c>
      <c r="CD44" s="63">
        <v>17.46</v>
      </c>
      <c r="CE44" s="63">
        <v>17.46</v>
      </c>
      <c r="CF44" s="63">
        <v>17.350000000000001</v>
      </c>
      <c r="CG44" s="63">
        <v>17.350000000000001</v>
      </c>
      <c r="CH44" s="63">
        <v>17.46</v>
      </c>
      <c r="CI44" s="63">
        <v>16.7</v>
      </c>
    </row>
    <row r="45" spans="1:87" s="62" customFormat="1" x14ac:dyDescent="0.2">
      <c r="A45" s="67" t="s">
        <v>2246</v>
      </c>
      <c r="B45" s="68">
        <v>17.002285714285716</v>
      </c>
      <c r="C45" s="68">
        <v>17.002285714285716</v>
      </c>
      <c r="D45" s="68">
        <v>17.002285714285716</v>
      </c>
      <c r="E45" s="68">
        <v>15.988114285714287</v>
      </c>
      <c r="F45" s="68">
        <v>15.988114285714287</v>
      </c>
      <c r="G45" s="68">
        <v>15.988114285714287</v>
      </c>
      <c r="H45" s="68">
        <v>15.988114285714287</v>
      </c>
      <c r="I45" s="68">
        <v>16.333714285714283</v>
      </c>
      <c r="J45" s="68">
        <v>16.333714285714283</v>
      </c>
      <c r="K45" s="68">
        <v>16.333714285714283</v>
      </c>
      <c r="L45" s="68">
        <v>16.333714285714283</v>
      </c>
      <c r="M45" s="68">
        <v>16.333714285714283</v>
      </c>
      <c r="N45" s="68">
        <v>16.576457142857144</v>
      </c>
      <c r="O45" s="68">
        <v>16.518514285714286</v>
      </c>
      <c r="P45" s="68">
        <v>16.518514285714286</v>
      </c>
      <c r="Q45" s="68">
        <v>16.518514285714286</v>
      </c>
      <c r="R45" s="68">
        <v>16.518514285714286</v>
      </c>
      <c r="S45" s="68">
        <v>16.518514285714286</v>
      </c>
      <c r="T45" s="68">
        <v>16.518514285714286</v>
      </c>
      <c r="U45" s="68">
        <v>16.518514285714286</v>
      </c>
      <c r="V45" s="68">
        <v>16.518514285714286</v>
      </c>
      <c r="W45" s="68">
        <v>16.518514285714286</v>
      </c>
      <c r="X45" s="68">
        <v>15.919885714285716</v>
      </c>
      <c r="Y45" s="68">
        <v>15.919885714285716</v>
      </c>
      <c r="Z45" s="68">
        <v>16.434857142857144</v>
      </c>
      <c r="AA45" s="68">
        <v>16.434857142857144</v>
      </c>
      <c r="AB45" s="68">
        <v>16.434857142857144</v>
      </c>
      <c r="AC45" s="68">
        <v>16.554514285714287</v>
      </c>
      <c r="AD45" s="68">
        <v>16.554514285714287</v>
      </c>
      <c r="AE45" s="68">
        <v>16.554514285714287</v>
      </c>
      <c r="AF45" s="68">
        <v>16.554514285714287</v>
      </c>
      <c r="AG45" s="68">
        <v>16.554514285714287</v>
      </c>
      <c r="AH45" s="68">
        <v>16.554857142857141</v>
      </c>
      <c r="AI45" s="68">
        <v>16.554857142857141</v>
      </c>
      <c r="AJ45" s="68">
        <v>16.554857142857141</v>
      </c>
      <c r="AK45" s="68">
        <v>16.554857142857141</v>
      </c>
      <c r="AL45" s="68">
        <v>16.554857142857141</v>
      </c>
      <c r="AM45" s="68">
        <v>14.692457142857142</v>
      </c>
      <c r="AN45" s="68">
        <v>14.692457142857142</v>
      </c>
      <c r="AO45" s="68">
        <v>14.692457142857142</v>
      </c>
      <c r="AP45" s="68">
        <v>14.692457142857142</v>
      </c>
      <c r="AQ45" s="68">
        <v>14.692457142857142</v>
      </c>
      <c r="AR45" s="68">
        <v>15.068914285714287</v>
      </c>
      <c r="AS45" s="68">
        <v>15.068914285714287</v>
      </c>
      <c r="AT45" s="68">
        <v>15.068914285714287</v>
      </c>
      <c r="AU45" s="68">
        <v>15.068914285714287</v>
      </c>
      <c r="AV45" s="68">
        <v>15.0689142857143</v>
      </c>
      <c r="AW45" s="68">
        <v>15.0689142857143</v>
      </c>
      <c r="AX45" s="68">
        <v>14.731999999999999</v>
      </c>
      <c r="AY45" s="68">
        <v>15.246514285714284</v>
      </c>
      <c r="AZ45" s="68">
        <v>15.246514285714284</v>
      </c>
      <c r="BA45" s="68">
        <v>15.246514285714284</v>
      </c>
      <c r="BB45" s="68">
        <v>15.246514285714284</v>
      </c>
      <c r="BC45" s="68">
        <v>15.246514285714284</v>
      </c>
      <c r="BD45" s="68">
        <v>15.135771428571427</v>
      </c>
      <c r="BE45" s="68">
        <v>15.135771428571427</v>
      </c>
      <c r="BF45" s="68">
        <v>15.135771428571427</v>
      </c>
      <c r="BG45" s="68">
        <v>15.135771428571401</v>
      </c>
      <c r="BH45" s="68">
        <v>15.135771428571401</v>
      </c>
      <c r="BI45" s="68">
        <v>15.135771428571299</v>
      </c>
      <c r="BJ45" s="68">
        <v>16.192571428571426</v>
      </c>
      <c r="BK45" s="68">
        <v>16.192571428571426</v>
      </c>
      <c r="BL45" s="68">
        <v>16.192571428571426</v>
      </c>
      <c r="BM45" s="68">
        <v>16.192571428571426</v>
      </c>
      <c r="BN45" s="68">
        <v>16.192571428571426</v>
      </c>
      <c r="BO45" s="68">
        <v>16.192571428571426</v>
      </c>
      <c r="BP45" s="63">
        <v>16.190000000000001</v>
      </c>
      <c r="BQ45" s="63">
        <v>16.190000000000001</v>
      </c>
      <c r="BR45" s="63">
        <v>16.190000000000001</v>
      </c>
      <c r="BS45" s="63">
        <v>16.190000000000001</v>
      </c>
      <c r="BT45" s="63">
        <v>16.190000000000001</v>
      </c>
      <c r="BU45" s="63">
        <v>15.75</v>
      </c>
      <c r="BV45" s="63">
        <v>16.14</v>
      </c>
      <c r="BW45" s="63">
        <v>16.14</v>
      </c>
      <c r="BX45" s="63">
        <v>16.14</v>
      </c>
      <c r="BY45" s="63">
        <v>16.14</v>
      </c>
      <c r="BZ45" s="63">
        <v>16.14</v>
      </c>
      <c r="CA45" s="63">
        <v>16.86</v>
      </c>
      <c r="CB45" s="63">
        <v>16.86</v>
      </c>
      <c r="CC45" s="63">
        <v>16.86</v>
      </c>
      <c r="CD45" s="63">
        <v>16.86</v>
      </c>
      <c r="CE45" s="63">
        <v>16.86</v>
      </c>
      <c r="CF45" s="63">
        <v>16.86</v>
      </c>
      <c r="CG45" s="63">
        <v>16.940000000000001</v>
      </c>
      <c r="CH45" s="63">
        <v>16.850000000000001</v>
      </c>
      <c r="CI45" s="63">
        <v>16.850000000000001</v>
      </c>
    </row>
    <row r="46" spans="1:87" s="62" customFormat="1" x14ac:dyDescent="0.2">
      <c r="A46" s="67" t="s">
        <v>2247</v>
      </c>
      <c r="B46" s="68">
        <v>15.44</v>
      </c>
      <c r="C46" s="68">
        <v>15.543714285714286</v>
      </c>
      <c r="D46" s="68">
        <v>15.543714285714286</v>
      </c>
      <c r="E46" s="68">
        <v>15.54377142857143</v>
      </c>
      <c r="F46" s="68">
        <v>14.705142857142855</v>
      </c>
      <c r="G46" s="68">
        <v>14.705142857142855</v>
      </c>
      <c r="H46" s="68">
        <v>14.705142857142855</v>
      </c>
      <c r="I46" s="68">
        <v>14.705142857142855</v>
      </c>
      <c r="J46" s="68">
        <v>14.705142857142855</v>
      </c>
      <c r="K46" s="68">
        <v>14.705142857142855</v>
      </c>
      <c r="L46" s="68">
        <v>14.705142857142855</v>
      </c>
      <c r="M46" s="68">
        <v>14.705142857142855</v>
      </c>
      <c r="N46" s="68">
        <v>15.079885714285716</v>
      </c>
      <c r="O46" s="68">
        <v>15.021942857142857</v>
      </c>
      <c r="P46" s="68">
        <v>15.021942857142857</v>
      </c>
      <c r="Q46" s="68">
        <v>15.021942857142857</v>
      </c>
      <c r="R46" s="68">
        <v>15.021942857142857</v>
      </c>
      <c r="S46" s="68">
        <v>15.021942857142857</v>
      </c>
      <c r="T46" s="68">
        <v>15.021942857142857</v>
      </c>
      <c r="U46" s="68">
        <v>15.021942857142857</v>
      </c>
      <c r="V46" s="68">
        <v>15.021942857142857</v>
      </c>
      <c r="W46" s="68">
        <v>15.021942857142857</v>
      </c>
      <c r="X46" s="68">
        <v>14.771314285714285</v>
      </c>
      <c r="Y46" s="68">
        <v>14.771314285714285</v>
      </c>
      <c r="Z46" s="68">
        <v>15.179314285714284</v>
      </c>
      <c r="AA46" s="68">
        <v>15.179314285714284</v>
      </c>
      <c r="AB46" s="68">
        <v>15.179314285714284</v>
      </c>
      <c r="AC46" s="68">
        <v>15.298971428571431</v>
      </c>
      <c r="AD46" s="68">
        <v>15.298971428571431</v>
      </c>
      <c r="AE46" s="68">
        <v>15.298971428571431</v>
      </c>
      <c r="AF46" s="68">
        <v>15.298971428571431</v>
      </c>
      <c r="AG46" s="68">
        <v>15.298971428571431</v>
      </c>
      <c r="AH46" s="68">
        <v>15.299314285714285</v>
      </c>
      <c r="AI46" s="68">
        <v>15.299314285714285</v>
      </c>
      <c r="AJ46" s="68">
        <v>15.299314285714285</v>
      </c>
      <c r="AK46" s="68">
        <v>15.299314285714285</v>
      </c>
      <c r="AL46" s="68">
        <v>15.299314285714285</v>
      </c>
      <c r="AM46" s="68">
        <v>15.299314285714285</v>
      </c>
      <c r="AN46" s="68">
        <v>15.314742857142859</v>
      </c>
      <c r="AO46" s="68">
        <v>15.314742857142859</v>
      </c>
      <c r="AP46" s="68">
        <v>15.314742857142855</v>
      </c>
      <c r="AQ46" s="68">
        <v>14.376571428571401</v>
      </c>
      <c r="AR46" s="68">
        <v>14.753142857142857</v>
      </c>
      <c r="AS46" s="68">
        <v>14.753142857142857</v>
      </c>
      <c r="AT46" s="68">
        <v>14.753142857142857</v>
      </c>
      <c r="AU46" s="68">
        <v>14.753142857142857</v>
      </c>
      <c r="AV46" s="68">
        <v>14.753142857142899</v>
      </c>
      <c r="AW46" s="68">
        <v>14.753142857142899</v>
      </c>
      <c r="AX46" s="68">
        <v>14.407999999999999</v>
      </c>
      <c r="AY46" s="68">
        <v>15.016114285714288</v>
      </c>
      <c r="AZ46" s="68">
        <v>15.016114285714288</v>
      </c>
      <c r="BA46" s="68">
        <v>15.016114285714288</v>
      </c>
      <c r="BB46" s="68">
        <v>15.016114285714288</v>
      </c>
      <c r="BC46" s="68">
        <v>15.016114285714288</v>
      </c>
      <c r="BD46" s="68">
        <v>14.996571428571432</v>
      </c>
      <c r="BE46" s="68">
        <v>14.996571428571432</v>
      </c>
      <c r="BF46" s="68">
        <v>14.996571428571432</v>
      </c>
      <c r="BG46" s="68">
        <v>14.9965714285714</v>
      </c>
      <c r="BH46" s="68">
        <v>14.9965714285714</v>
      </c>
      <c r="BI46" s="68">
        <v>14.996571428571301</v>
      </c>
      <c r="BJ46" s="68">
        <v>16.126000000000001</v>
      </c>
      <c r="BK46" s="68">
        <v>16.126000000000001</v>
      </c>
      <c r="BL46" s="68">
        <v>16.126000000000001</v>
      </c>
      <c r="BM46" s="68">
        <v>16.126000000000001</v>
      </c>
      <c r="BN46" s="68">
        <v>16.126000000000001</v>
      </c>
      <c r="BO46" s="68">
        <v>16.126000000000001</v>
      </c>
      <c r="BP46" s="63">
        <v>16.13</v>
      </c>
      <c r="BQ46" s="63">
        <v>16.13</v>
      </c>
      <c r="BR46" s="63">
        <v>16.13</v>
      </c>
      <c r="BS46" s="63">
        <v>16.13</v>
      </c>
      <c r="BT46" s="63">
        <v>16.13</v>
      </c>
      <c r="BU46" s="63">
        <v>15.68</v>
      </c>
      <c r="BV46" s="63">
        <v>15.92</v>
      </c>
      <c r="BW46" s="63">
        <v>15.92</v>
      </c>
      <c r="BX46" s="63">
        <v>15.92</v>
      </c>
      <c r="BY46" s="63">
        <v>15.92</v>
      </c>
      <c r="BZ46" s="63">
        <v>15.92</v>
      </c>
      <c r="CA46" s="63">
        <v>16.64</v>
      </c>
      <c r="CB46" s="63">
        <v>16.64</v>
      </c>
      <c r="CC46" s="63">
        <v>16.64</v>
      </c>
      <c r="CD46" s="63">
        <v>16.64</v>
      </c>
      <c r="CE46" s="63">
        <v>16.64</v>
      </c>
      <c r="CF46" s="63">
        <v>16.54</v>
      </c>
      <c r="CG46" s="63">
        <v>16.54</v>
      </c>
      <c r="CH46" s="63">
        <v>16.29</v>
      </c>
      <c r="CI46" s="63">
        <v>15.51</v>
      </c>
    </row>
    <row r="47" spans="1:87" s="62" customFormat="1" x14ac:dyDescent="0.2">
      <c r="A47" s="67" t="s">
        <v>2248</v>
      </c>
      <c r="B47" s="68">
        <v>12.881428571428572</v>
      </c>
      <c r="C47" s="68">
        <v>12.881428571428572</v>
      </c>
      <c r="D47" s="68">
        <v>12.881714285714287</v>
      </c>
      <c r="E47" s="68">
        <v>12.881828571428573</v>
      </c>
      <c r="F47" s="68">
        <v>12.881828571428573</v>
      </c>
      <c r="G47" s="68">
        <v>12.881828571428573</v>
      </c>
      <c r="H47" s="68">
        <v>12.768000000000001</v>
      </c>
      <c r="I47" s="68">
        <v>12.768000000000001</v>
      </c>
      <c r="J47" s="68">
        <v>12.804342857142855</v>
      </c>
      <c r="K47" s="68">
        <v>12.804342857142855</v>
      </c>
      <c r="L47" s="68">
        <v>12.804342857142855</v>
      </c>
      <c r="M47" s="68">
        <v>12.804342857142855</v>
      </c>
      <c r="N47" s="68">
        <v>13.214057142857142</v>
      </c>
      <c r="O47" s="68">
        <v>13.104685714285713</v>
      </c>
      <c r="P47" s="68">
        <v>13.104685714285713</v>
      </c>
      <c r="Q47" s="68">
        <v>13.104685714285713</v>
      </c>
      <c r="R47" s="68">
        <v>13.104685714285713</v>
      </c>
      <c r="S47" s="68">
        <v>13.104685714285713</v>
      </c>
      <c r="T47" s="68">
        <v>13.104685714285713</v>
      </c>
      <c r="U47" s="68">
        <v>13.104685714285713</v>
      </c>
      <c r="V47" s="68">
        <v>13.104685714285713</v>
      </c>
      <c r="W47" s="68">
        <v>13.104685714285713</v>
      </c>
      <c r="X47" s="68">
        <v>13.120114285714285</v>
      </c>
      <c r="Y47" s="68">
        <v>13.120114285714285</v>
      </c>
      <c r="Z47" s="68">
        <v>13.74</v>
      </c>
      <c r="AA47" s="68">
        <v>13.74</v>
      </c>
      <c r="AB47" s="68">
        <v>13.74</v>
      </c>
      <c r="AC47" s="68">
        <v>13.859657142857142</v>
      </c>
      <c r="AD47" s="68">
        <v>13.859657142857142</v>
      </c>
      <c r="AE47" s="68">
        <v>13.859657142857142</v>
      </c>
      <c r="AF47" s="68">
        <v>13.859657142857142</v>
      </c>
      <c r="AG47" s="68">
        <v>13.859657142857142</v>
      </c>
      <c r="AH47" s="68">
        <v>13.86</v>
      </c>
      <c r="AI47" s="68">
        <v>13.86</v>
      </c>
      <c r="AJ47" s="68">
        <v>13.86</v>
      </c>
      <c r="AK47" s="68">
        <v>13.86</v>
      </c>
      <c r="AL47" s="68">
        <v>13.86</v>
      </c>
      <c r="AM47" s="68">
        <v>13.86</v>
      </c>
      <c r="AN47" s="68">
        <v>13.875428571428571</v>
      </c>
      <c r="AO47" s="68">
        <v>13.394400000000001</v>
      </c>
      <c r="AP47" s="68">
        <v>13.394400000000001</v>
      </c>
      <c r="AQ47" s="68">
        <v>13.394400000000001</v>
      </c>
      <c r="AR47" s="68">
        <v>13.469828571428572</v>
      </c>
      <c r="AS47" s="68">
        <v>13.469828571428572</v>
      </c>
      <c r="AT47" s="68">
        <v>13.469828571428572</v>
      </c>
      <c r="AU47" s="68">
        <v>13.469828571428572</v>
      </c>
      <c r="AV47" s="68">
        <v>13.4698285714286</v>
      </c>
      <c r="AW47" s="68">
        <v>13.4698285714286</v>
      </c>
      <c r="AX47" s="68">
        <v>14.196</v>
      </c>
      <c r="AY47" s="68">
        <v>14.710285714285714</v>
      </c>
      <c r="AZ47" s="68">
        <v>14.710285714285714</v>
      </c>
      <c r="BA47" s="68">
        <v>14.710285714285714</v>
      </c>
      <c r="BB47" s="68">
        <v>14.710285714285714</v>
      </c>
      <c r="BC47" s="68">
        <v>14.710285714285714</v>
      </c>
      <c r="BD47" s="68">
        <v>14.684228571428575</v>
      </c>
      <c r="BE47" s="68">
        <v>14.684228571428575</v>
      </c>
      <c r="BF47" s="68">
        <v>14.684228571428575</v>
      </c>
      <c r="BG47" s="68">
        <v>14.6842285714286</v>
      </c>
      <c r="BH47" s="68">
        <v>14.6842285714286</v>
      </c>
      <c r="BI47" s="68">
        <v>14.6842285714286</v>
      </c>
      <c r="BJ47" s="68">
        <v>16.033714285714286</v>
      </c>
      <c r="BK47" s="68">
        <v>16.033714285714286</v>
      </c>
      <c r="BL47" s="68">
        <v>16.033714285714286</v>
      </c>
      <c r="BM47" s="68">
        <v>16.033714285714286</v>
      </c>
      <c r="BN47" s="68">
        <v>16.033714285714286</v>
      </c>
      <c r="BO47" s="68">
        <v>16.033714285714286</v>
      </c>
      <c r="BP47" s="63">
        <v>16.03</v>
      </c>
      <c r="BQ47" s="63">
        <v>16.03</v>
      </c>
      <c r="BR47" s="63">
        <v>16.03</v>
      </c>
      <c r="BS47" s="63">
        <v>16.03</v>
      </c>
      <c r="BT47" s="63">
        <v>16.03</v>
      </c>
      <c r="BU47" s="63">
        <v>15.59</v>
      </c>
      <c r="BV47" s="63">
        <v>16.02</v>
      </c>
      <c r="BW47" s="63">
        <v>16.02</v>
      </c>
      <c r="BX47" s="63">
        <v>16.02</v>
      </c>
      <c r="BY47" s="63">
        <v>16.02</v>
      </c>
      <c r="BZ47" s="63">
        <v>16.02</v>
      </c>
      <c r="CA47" s="63">
        <v>16.739999999999998</v>
      </c>
      <c r="CB47" s="63">
        <v>16.739999999999998</v>
      </c>
      <c r="CC47" s="63">
        <v>16.739999999999998</v>
      </c>
      <c r="CD47" s="63">
        <v>16.739999999999998</v>
      </c>
      <c r="CE47" s="63">
        <v>16.739999999999998</v>
      </c>
      <c r="CF47" s="63">
        <v>16.64</v>
      </c>
      <c r="CG47" s="63">
        <v>16.64</v>
      </c>
      <c r="CH47" s="63">
        <v>16.71</v>
      </c>
      <c r="CI47" s="63">
        <v>15.92</v>
      </c>
    </row>
    <row r="48" spans="1:87" s="62" customFormat="1" x14ac:dyDescent="0.2">
      <c r="A48" s="67" t="s">
        <v>2249</v>
      </c>
      <c r="B48" s="68">
        <v>14.325428571428571</v>
      </c>
      <c r="C48" s="68">
        <v>14.325428571428571</v>
      </c>
      <c r="D48" s="68">
        <v>14.325714285714286</v>
      </c>
      <c r="E48" s="68">
        <v>14.3256</v>
      </c>
      <c r="F48" s="68">
        <v>14.3256</v>
      </c>
      <c r="G48" s="68">
        <v>13.985828571428572</v>
      </c>
      <c r="H48" s="68">
        <v>13.985828571428572</v>
      </c>
      <c r="I48" s="68">
        <v>13.985828571428572</v>
      </c>
      <c r="J48" s="68">
        <v>14.069828571428571</v>
      </c>
      <c r="K48" s="68">
        <v>14.069828571428571</v>
      </c>
      <c r="L48" s="68">
        <v>14.069828571428571</v>
      </c>
      <c r="M48" s="68">
        <v>14.069828571428571</v>
      </c>
      <c r="N48" s="68">
        <v>14.516571428571428</v>
      </c>
      <c r="O48" s="68">
        <v>14.458628571428571</v>
      </c>
      <c r="P48" s="68">
        <v>14.458628571428571</v>
      </c>
      <c r="Q48" s="68">
        <v>14.458628571428571</v>
      </c>
      <c r="R48" s="68">
        <v>14.458628571428571</v>
      </c>
      <c r="S48" s="68">
        <v>14.458628571428571</v>
      </c>
      <c r="T48" s="68">
        <v>14.458628571428571</v>
      </c>
      <c r="U48" s="68">
        <v>14.458628571428571</v>
      </c>
      <c r="V48" s="68">
        <v>14.458628571428571</v>
      </c>
      <c r="W48" s="68">
        <v>14.458628571428571</v>
      </c>
      <c r="X48" s="68">
        <v>14.042057142857146</v>
      </c>
      <c r="Y48" s="68">
        <v>14.042057142857146</v>
      </c>
      <c r="Z48" s="68">
        <v>14.36777142857143</v>
      </c>
      <c r="AA48" s="68">
        <v>14.36777142857143</v>
      </c>
      <c r="AB48" s="68">
        <v>14.36777142857143</v>
      </c>
      <c r="AC48" s="68">
        <v>14.487428571428572</v>
      </c>
      <c r="AD48" s="68">
        <v>14.487428571428572</v>
      </c>
      <c r="AE48" s="68">
        <v>14.487428571428572</v>
      </c>
      <c r="AF48" s="68">
        <v>14.487428571428572</v>
      </c>
      <c r="AG48" s="68">
        <v>14.487428571428572</v>
      </c>
      <c r="AH48" s="68">
        <v>14.487771428571429</v>
      </c>
      <c r="AI48" s="68">
        <v>14.487771428571429</v>
      </c>
      <c r="AJ48" s="68">
        <v>14.487771428571429</v>
      </c>
      <c r="AK48" s="68">
        <v>14.487771428571429</v>
      </c>
      <c r="AL48" s="68">
        <v>14.487771428571429</v>
      </c>
      <c r="AM48" s="68">
        <v>14.487771428571429</v>
      </c>
      <c r="AN48" s="68">
        <v>14.5032</v>
      </c>
      <c r="AO48" s="68">
        <v>13.947771428571428</v>
      </c>
      <c r="AP48" s="68">
        <v>13.947771428571428</v>
      </c>
      <c r="AQ48" s="68">
        <v>13.947771428571428</v>
      </c>
      <c r="AR48" s="68">
        <v>14.32422857142857</v>
      </c>
      <c r="AS48" s="68">
        <v>14.32422857142857</v>
      </c>
      <c r="AT48" s="68">
        <v>14.32422857142857</v>
      </c>
      <c r="AU48" s="68">
        <v>14.32422857142857</v>
      </c>
      <c r="AV48" s="68">
        <v>14.3242285714286</v>
      </c>
      <c r="AW48" s="68">
        <v>14.3242285714286</v>
      </c>
      <c r="AX48" s="68">
        <v>14.154857142857143</v>
      </c>
      <c r="AY48" s="68">
        <v>14.790514285714286</v>
      </c>
      <c r="AZ48" s="68">
        <v>14.790514285714286</v>
      </c>
      <c r="BA48" s="68">
        <v>14.790514285714286</v>
      </c>
      <c r="BB48" s="68">
        <v>14.790514285714286</v>
      </c>
      <c r="BC48" s="68">
        <v>14.790514285714286</v>
      </c>
      <c r="BD48" s="68">
        <v>14.73942857142857</v>
      </c>
      <c r="BE48" s="68">
        <v>14.73942857142857</v>
      </c>
      <c r="BF48" s="68">
        <v>14.73942857142857</v>
      </c>
      <c r="BG48" s="68">
        <v>14.739428571428601</v>
      </c>
      <c r="BH48" s="68">
        <v>14.739428571428601</v>
      </c>
      <c r="BI48" s="68">
        <v>14.7394285714287</v>
      </c>
      <c r="BJ48" s="68">
        <v>15.859142857142858</v>
      </c>
      <c r="BK48" s="68">
        <v>15.859142857142858</v>
      </c>
      <c r="BL48" s="68">
        <v>15.859142857142858</v>
      </c>
      <c r="BM48" s="68">
        <v>15.859142857142858</v>
      </c>
      <c r="BN48" s="68">
        <v>15.859142857142858</v>
      </c>
      <c r="BO48" s="68">
        <v>15.859142857142858</v>
      </c>
      <c r="BP48" s="63">
        <v>15.86</v>
      </c>
      <c r="BQ48" s="63">
        <v>15.86</v>
      </c>
      <c r="BR48" s="63">
        <v>15.86</v>
      </c>
      <c r="BS48" s="63">
        <v>15.86</v>
      </c>
      <c r="BT48" s="63">
        <v>15.86</v>
      </c>
      <c r="BU48" s="63">
        <v>15.41</v>
      </c>
      <c r="BV48" s="63">
        <v>15.8</v>
      </c>
      <c r="BW48" s="63">
        <v>15.8</v>
      </c>
      <c r="BX48" s="63">
        <v>15.8</v>
      </c>
      <c r="BY48" s="63">
        <v>15.8</v>
      </c>
      <c r="BZ48" s="63">
        <v>15.8</v>
      </c>
      <c r="CA48" s="63">
        <v>16.52</v>
      </c>
      <c r="CB48" s="63">
        <v>16.52</v>
      </c>
      <c r="CC48" s="63">
        <v>16.52</v>
      </c>
      <c r="CD48" s="63">
        <v>16.52</v>
      </c>
      <c r="CE48" s="63">
        <v>16.52</v>
      </c>
      <c r="CF48" s="63">
        <v>16.600000000000001</v>
      </c>
      <c r="CG48" s="63">
        <v>16.690000000000001</v>
      </c>
      <c r="CH48" s="63">
        <v>16.75</v>
      </c>
      <c r="CI48" s="63">
        <v>16.75</v>
      </c>
    </row>
    <row r="49" spans="1:87" s="62" customFormat="1" x14ac:dyDescent="0.2">
      <c r="A49" s="67" t="s">
        <v>2250</v>
      </c>
      <c r="B49" s="68">
        <v>14.756571428571428</v>
      </c>
      <c r="C49" s="68">
        <v>14.756571428571428</v>
      </c>
      <c r="D49" s="68">
        <v>14.756571428571428</v>
      </c>
      <c r="E49" s="68">
        <v>14.091085714285715</v>
      </c>
      <c r="F49" s="68">
        <v>14.091085714285715</v>
      </c>
      <c r="G49" s="68">
        <v>14.091085714285715</v>
      </c>
      <c r="H49" s="68">
        <v>14.091085714285715</v>
      </c>
      <c r="I49" s="68">
        <v>14.091085714285715</v>
      </c>
      <c r="J49" s="68">
        <v>14.090742857142859</v>
      </c>
      <c r="K49" s="68">
        <v>14.090742857142859</v>
      </c>
      <c r="L49" s="68">
        <v>14.090742857142859</v>
      </c>
      <c r="M49" s="68">
        <v>14.090742857142859</v>
      </c>
      <c r="N49" s="68">
        <v>13.763657142857145</v>
      </c>
      <c r="O49" s="68">
        <v>13.705714285714285</v>
      </c>
      <c r="P49" s="68">
        <v>13.705714285714285</v>
      </c>
      <c r="Q49" s="68">
        <v>13.705714285714285</v>
      </c>
      <c r="R49" s="68">
        <v>13.705714285714285</v>
      </c>
      <c r="S49" s="68">
        <v>13.705714285714285</v>
      </c>
      <c r="T49" s="68">
        <v>13.705714285714285</v>
      </c>
      <c r="U49" s="68">
        <v>13.705714285714285</v>
      </c>
      <c r="V49" s="68">
        <v>13.705714285714285</v>
      </c>
      <c r="W49" s="68">
        <v>13.705714285714285</v>
      </c>
      <c r="X49" s="68">
        <v>13.377600000000001</v>
      </c>
      <c r="Y49" s="68">
        <v>13.377600000000001</v>
      </c>
      <c r="Z49" s="68">
        <v>13.703314285714288</v>
      </c>
      <c r="AA49" s="68">
        <v>13.703314285714288</v>
      </c>
      <c r="AB49" s="68">
        <v>13.703314285714288</v>
      </c>
      <c r="AC49" s="68">
        <v>13.822971428571432</v>
      </c>
      <c r="AD49" s="68">
        <v>13.822971428571432</v>
      </c>
      <c r="AE49" s="68">
        <v>13.822971428571432</v>
      </c>
      <c r="AF49" s="68">
        <v>13.822971428571432</v>
      </c>
      <c r="AG49" s="68">
        <v>13.822971428571432</v>
      </c>
      <c r="AH49" s="68">
        <v>13.823314285714286</v>
      </c>
      <c r="AI49" s="68">
        <v>13.823314285714286</v>
      </c>
      <c r="AJ49" s="68">
        <v>13.823314285714286</v>
      </c>
      <c r="AK49" s="68">
        <v>13.823314285714286</v>
      </c>
      <c r="AL49" s="68">
        <v>13.823314285714286</v>
      </c>
      <c r="AM49" s="68">
        <v>13.823314285714286</v>
      </c>
      <c r="AN49" s="68">
        <v>13.838742857142856</v>
      </c>
      <c r="AO49" s="68">
        <v>13.337485714285714</v>
      </c>
      <c r="AP49" s="68">
        <v>13.337485714285714</v>
      </c>
      <c r="AQ49" s="68">
        <v>13.337485714285714</v>
      </c>
      <c r="AR49" s="68">
        <v>13.713942857142856</v>
      </c>
      <c r="AS49" s="68">
        <v>13.713942857142856</v>
      </c>
      <c r="AT49" s="68">
        <v>13.713942857142856</v>
      </c>
      <c r="AU49" s="68">
        <v>13.713942857142856</v>
      </c>
      <c r="AV49" s="68">
        <v>13.7139428571429</v>
      </c>
      <c r="AW49" s="68">
        <v>13.7139428571429</v>
      </c>
      <c r="AX49" s="68">
        <v>13.675714285714285</v>
      </c>
      <c r="AY49" s="68">
        <v>14.189828571428572</v>
      </c>
      <c r="AZ49" s="68">
        <v>14.189828571428572</v>
      </c>
      <c r="BA49" s="68">
        <v>14.189828571428572</v>
      </c>
      <c r="BB49" s="68">
        <v>14.189828571428572</v>
      </c>
      <c r="BC49" s="68">
        <v>14.189828571428572</v>
      </c>
      <c r="BD49" s="68">
        <v>14.12777142857143</v>
      </c>
      <c r="BE49" s="68">
        <v>14.12777142857143</v>
      </c>
      <c r="BF49" s="68">
        <v>14.12777142857143</v>
      </c>
      <c r="BG49" s="68">
        <v>14.1277714285714</v>
      </c>
      <c r="BH49" s="68">
        <v>14.1277714285714</v>
      </c>
      <c r="BI49" s="68">
        <v>14.1277714285713</v>
      </c>
      <c r="BJ49" s="68">
        <v>15.321142857142858</v>
      </c>
      <c r="BK49" s="68">
        <v>15.321142857142858</v>
      </c>
      <c r="BL49" s="68">
        <v>15.321142857142858</v>
      </c>
      <c r="BM49" s="68">
        <v>15.321142857142858</v>
      </c>
      <c r="BN49" s="68">
        <v>15.321142857142858</v>
      </c>
      <c r="BO49" s="68">
        <v>15.321142857142858</v>
      </c>
      <c r="BP49" s="63">
        <v>15.32</v>
      </c>
      <c r="BQ49" s="63">
        <v>15.32</v>
      </c>
      <c r="BR49" s="63">
        <v>15.32</v>
      </c>
      <c r="BS49" s="63">
        <v>15.32</v>
      </c>
      <c r="BT49" s="63">
        <v>15.32</v>
      </c>
      <c r="BU49" s="63">
        <v>14.89</v>
      </c>
      <c r="BV49" s="63">
        <v>15.5</v>
      </c>
      <c r="BW49" s="63">
        <v>15.5</v>
      </c>
      <c r="BX49" s="63">
        <v>15.5</v>
      </c>
      <c r="BY49" s="63">
        <v>15.5</v>
      </c>
      <c r="BZ49" s="63">
        <v>15.5</v>
      </c>
      <c r="CA49" s="63">
        <v>16.22</v>
      </c>
      <c r="CB49" s="63">
        <v>16.22</v>
      </c>
      <c r="CC49" s="63">
        <v>16.22</v>
      </c>
      <c r="CD49" s="63">
        <v>16.22</v>
      </c>
      <c r="CE49" s="63">
        <v>16.22</v>
      </c>
      <c r="CF49" s="63">
        <v>16.3</v>
      </c>
      <c r="CG49" s="63">
        <v>16.3</v>
      </c>
      <c r="CH49" s="63">
        <v>16.399999999999999</v>
      </c>
      <c r="CI49" s="63">
        <v>16.579999999999998</v>
      </c>
    </row>
    <row r="50" spans="1:87" s="62" customFormat="1" x14ac:dyDescent="0.2">
      <c r="A50" s="67" t="s">
        <v>2251</v>
      </c>
      <c r="B50" s="68">
        <v>14.264857142857142</v>
      </c>
      <c r="C50" s="68">
        <v>14.264857142857142</v>
      </c>
      <c r="D50" s="68">
        <v>14.264857142857142</v>
      </c>
      <c r="E50" s="68">
        <v>14.265257142857143</v>
      </c>
      <c r="F50" s="68">
        <v>14.265257142857143</v>
      </c>
      <c r="G50" s="68">
        <v>14.265257142857143</v>
      </c>
      <c r="H50" s="68">
        <v>14.265257142857143</v>
      </c>
      <c r="I50" s="68">
        <v>14.265257142857143</v>
      </c>
      <c r="J50" s="68">
        <v>14.265257142857143</v>
      </c>
      <c r="K50" s="68">
        <v>14.436685714285714</v>
      </c>
      <c r="L50" s="68">
        <v>14.436685714285714</v>
      </c>
      <c r="M50" s="68">
        <v>14.436685714285714</v>
      </c>
      <c r="N50" s="68">
        <v>14.596457142857142</v>
      </c>
      <c r="O50" s="68">
        <v>14.538514285714285</v>
      </c>
      <c r="P50" s="68">
        <v>14.538514285714285</v>
      </c>
      <c r="Q50" s="68">
        <v>14.538514285714285</v>
      </c>
      <c r="R50" s="68">
        <v>14.538514285714285</v>
      </c>
      <c r="S50" s="68">
        <v>14.538514285714285</v>
      </c>
      <c r="T50" s="68">
        <v>14.538514285714285</v>
      </c>
      <c r="U50" s="68">
        <v>14.538514285714285</v>
      </c>
      <c r="V50" s="68">
        <v>14.538514285714285</v>
      </c>
      <c r="W50" s="68">
        <v>14.538514285714285</v>
      </c>
      <c r="X50" s="68">
        <v>14.538514285714285</v>
      </c>
      <c r="Y50" s="68">
        <v>14.538514285714285</v>
      </c>
      <c r="Z50" s="68">
        <v>14.113714285714286</v>
      </c>
      <c r="AA50" s="68">
        <v>14.113714285714286</v>
      </c>
      <c r="AB50" s="68">
        <v>14.113714285714286</v>
      </c>
      <c r="AC50" s="68">
        <v>14.233371428571429</v>
      </c>
      <c r="AD50" s="68">
        <v>14.233371428571429</v>
      </c>
      <c r="AE50" s="68">
        <v>14.233371428571429</v>
      </c>
      <c r="AF50" s="68">
        <v>14.233371428571429</v>
      </c>
      <c r="AG50" s="68">
        <v>14.233371428571429</v>
      </c>
      <c r="AH50" s="68">
        <v>14.233714285714285</v>
      </c>
      <c r="AI50" s="68">
        <v>14.233714285714285</v>
      </c>
      <c r="AJ50" s="68">
        <v>14.233714285714285</v>
      </c>
      <c r="AK50" s="68">
        <v>14.233714285714285</v>
      </c>
      <c r="AL50" s="68">
        <v>14.233714285714285</v>
      </c>
      <c r="AM50" s="68">
        <v>14.233714285714285</v>
      </c>
      <c r="AN50" s="68">
        <v>14.249142857142857</v>
      </c>
      <c r="AO50" s="68">
        <v>14.249142857142857</v>
      </c>
      <c r="AP50" s="68">
        <v>14.249142857142857</v>
      </c>
      <c r="AQ50" s="68">
        <v>13.3762857142857</v>
      </c>
      <c r="AR50" s="68">
        <v>13.752685714285715</v>
      </c>
      <c r="AS50" s="68">
        <v>13.752685714285715</v>
      </c>
      <c r="AT50" s="68">
        <v>13.752685714285715</v>
      </c>
      <c r="AU50" s="68">
        <v>13.752685714285715</v>
      </c>
      <c r="AV50" s="68">
        <v>13.7526857142857</v>
      </c>
      <c r="AW50" s="68">
        <v>13.7526857142857</v>
      </c>
      <c r="AX50" s="68">
        <v>13.483428571428572</v>
      </c>
      <c r="AY50" s="68">
        <v>13.99782857142857</v>
      </c>
      <c r="AZ50" s="68">
        <v>13.99782857142857</v>
      </c>
      <c r="BA50" s="68">
        <v>13.99782857142857</v>
      </c>
      <c r="BB50" s="68">
        <v>13.99782857142857</v>
      </c>
      <c r="BC50" s="68">
        <v>13.99782857142857</v>
      </c>
      <c r="BD50" s="68">
        <v>13.961828571428571</v>
      </c>
      <c r="BE50" s="68">
        <v>13.961828571428571</v>
      </c>
      <c r="BF50" s="68">
        <v>13.961828571428571</v>
      </c>
      <c r="BG50" s="68">
        <v>13.961828571428599</v>
      </c>
      <c r="BH50" s="68">
        <v>13.961828571428599</v>
      </c>
      <c r="BI50" s="68">
        <v>13.9618285714287</v>
      </c>
      <c r="BJ50" s="68">
        <v>15.061428571428571</v>
      </c>
      <c r="BK50" s="68">
        <v>15.061428571428571</v>
      </c>
      <c r="BL50" s="68">
        <v>15.061428571428571</v>
      </c>
      <c r="BM50" s="68">
        <v>15.061428571428571</v>
      </c>
      <c r="BN50" s="68">
        <v>15.061428571428571</v>
      </c>
      <c r="BO50" s="68">
        <v>15.061428571428571</v>
      </c>
      <c r="BP50" s="63">
        <v>15.06</v>
      </c>
      <c r="BQ50" s="63">
        <v>15.06</v>
      </c>
      <c r="BR50" s="63">
        <v>15.06</v>
      </c>
      <c r="BS50" s="63">
        <v>15.06</v>
      </c>
      <c r="BT50" s="63">
        <v>15.06</v>
      </c>
      <c r="BU50" s="63">
        <v>14.62</v>
      </c>
      <c r="BV50" s="63">
        <v>14.93</v>
      </c>
      <c r="BW50" s="63">
        <v>14.93</v>
      </c>
      <c r="BX50" s="63">
        <v>14.93</v>
      </c>
      <c r="BY50" s="63">
        <v>14.93</v>
      </c>
      <c r="BZ50" s="63">
        <v>14.93</v>
      </c>
      <c r="CA50" s="63">
        <v>15.65</v>
      </c>
      <c r="CB50" s="63">
        <v>15.65</v>
      </c>
      <c r="CC50" s="63">
        <v>15.65</v>
      </c>
      <c r="CD50" s="63">
        <v>15.65</v>
      </c>
      <c r="CE50" s="63">
        <v>15.65</v>
      </c>
      <c r="CF50" s="63">
        <v>15.55</v>
      </c>
      <c r="CG50" s="63">
        <v>15.55</v>
      </c>
      <c r="CH50" s="63">
        <v>15.49</v>
      </c>
      <c r="CI50" s="63">
        <v>14.83</v>
      </c>
    </row>
    <row r="51" spans="1:87" s="62" customFormat="1" x14ac:dyDescent="0.2">
      <c r="A51" s="67" t="s">
        <v>2252</v>
      </c>
      <c r="B51" s="68">
        <v>12.683714285714286</v>
      </c>
      <c r="C51" s="68">
        <v>12.683714285714286</v>
      </c>
      <c r="D51" s="68">
        <v>12.683714285714286</v>
      </c>
      <c r="E51" s="68">
        <v>12.683657142857143</v>
      </c>
      <c r="F51" s="68">
        <v>12.683657142857143</v>
      </c>
      <c r="G51" s="68">
        <v>12.683657142857143</v>
      </c>
      <c r="H51" s="68">
        <v>12.683657142857143</v>
      </c>
      <c r="I51" s="68">
        <v>12.683657142857143</v>
      </c>
      <c r="J51" s="68">
        <v>12.683657142857143</v>
      </c>
      <c r="K51" s="68">
        <v>12.57737142857143</v>
      </c>
      <c r="L51" s="68">
        <v>12.57737142857143</v>
      </c>
      <c r="M51" s="68">
        <v>12.57737142857143</v>
      </c>
      <c r="N51" s="68">
        <v>13.132114285714286</v>
      </c>
      <c r="O51" s="68">
        <v>13.074171428571429</v>
      </c>
      <c r="P51" s="68">
        <v>13.074171428571429</v>
      </c>
      <c r="Q51" s="68">
        <v>13.074171428571429</v>
      </c>
      <c r="R51" s="68">
        <v>13.074171428571429</v>
      </c>
      <c r="S51" s="68">
        <v>13.074171428571429</v>
      </c>
      <c r="T51" s="68">
        <v>13.074171428571429</v>
      </c>
      <c r="U51" s="68">
        <v>13.074171428571429</v>
      </c>
      <c r="V51" s="68">
        <v>13.074171428571429</v>
      </c>
      <c r="W51" s="68">
        <v>13.074171428571429</v>
      </c>
      <c r="X51" s="68">
        <v>12.457714285714285</v>
      </c>
      <c r="Y51" s="68">
        <v>12.457714285714285</v>
      </c>
      <c r="Z51" s="68">
        <v>13.770857142857144</v>
      </c>
      <c r="AA51" s="68">
        <v>13.770857142857144</v>
      </c>
      <c r="AB51" s="68">
        <v>13.770857142857144</v>
      </c>
      <c r="AC51" s="68">
        <v>13.890514285714286</v>
      </c>
      <c r="AD51" s="68">
        <v>13.890514285714286</v>
      </c>
      <c r="AE51" s="68">
        <v>13.890514285714286</v>
      </c>
      <c r="AF51" s="68">
        <v>13.890514285714286</v>
      </c>
      <c r="AG51" s="68">
        <v>13.890514285714286</v>
      </c>
      <c r="AH51" s="68">
        <v>13.890857142857143</v>
      </c>
      <c r="AI51" s="68">
        <v>13.890857142857143</v>
      </c>
      <c r="AJ51" s="68">
        <v>13.890857142857143</v>
      </c>
      <c r="AK51" s="68">
        <v>13.823657142857144</v>
      </c>
      <c r="AL51" s="68">
        <v>13.823657142857144</v>
      </c>
      <c r="AM51" s="68">
        <v>13.823657142857144</v>
      </c>
      <c r="AN51" s="68">
        <v>13.906285714285715</v>
      </c>
      <c r="AO51" s="68">
        <v>13.521942857142855</v>
      </c>
      <c r="AP51" s="68">
        <v>13.521942857142855</v>
      </c>
      <c r="AQ51" s="68">
        <v>13.521942857142855</v>
      </c>
      <c r="AR51" s="68">
        <v>13.898399999999999</v>
      </c>
      <c r="AS51" s="68">
        <v>13.898399999999999</v>
      </c>
      <c r="AT51" s="68">
        <v>13.898399999999999</v>
      </c>
      <c r="AU51" s="68">
        <v>13.898399999999999</v>
      </c>
      <c r="AV51" s="68">
        <v>13.898400000000001</v>
      </c>
      <c r="AW51" s="68">
        <v>13.898400000000001</v>
      </c>
      <c r="AX51" s="68">
        <v>13.467428571428572</v>
      </c>
      <c r="AY51" s="68">
        <v>13.981714285714286</v>
      </c>
      <c r="AZ51" s="68">
        <v>13.981714285714286</v>
      </c>
      <c r="BA51" s="68">
        <v>13.981714285714286</v>
      </c>
      <c r="BB51" s="68">
        <v>13.981714285714286</v>
      </c>
      <c r="BC51" s="68">
        <v>13.981714285714286</v>
      </c>
      <c r="BD51" s="68">
        <v>13.497942857142856</v>
      </c>
      <c r="BE51" s="68">
        <v>13.497942857142856</v>
      </c>
      <c r="BF51" s="68">
        <v>13.497942857142856</v>
      </c>
      <c r="BG51" s="68">
        <v>13.497942857142901</v>
      </c>
      <c r="BH51" s="68">
        <v>13.497942857142901</v>
      </c>
      <c r="BI51" s="68">
        <v>13.497942857143</v>
      </c>
      <c r="BJ51" s="68">
        <v>15.276</v>
      </c>
      <c r="BK51" s="68">
        <v>15.276</v>
      </c>
      <c r="BL51" s="68">
        <v>15.276</v>
      </c>
      <c r="BM51" s="68">
        <v>15.276</v>
      </c>
      <c r="BN51" s="68">
        <v>15.276</v>
      </c>
      <c r="BO51" s="68">
        <v>15.276</v>
      </c>
      <c r="BP51" s="63">
        <v>15.28</v>
      </c>
      <c r="BQ51" s="63">
        <v>15.28</v>
      </c>
      <c r="BR51" s="63">
        <v>15.28</v>
      </c>
      <c r="BS51" s="63">
        <v>15.28</v>
      </c>
      <c r="BT51" s="63">
        <v>15.28</v>
      </c>
      <c r="BU51" s="63">
        <v>14.83</v>
      </c>
      <c r="BV51" s="63">
        <v>15.28</v>
      </c>
      <c r="BW51" s="63">
        <v>15.28</v>
      </c>
      <c r="BX51" s="63">
        <v>15.28</v>
      </c>
      <c r="BY51" s="63">
        <v>15.28</v>
      </c>
      <c r="BZ51" s="63">
        <v>15.28</v>
      </c>
      <c r="CA51" s="63">
        <v>15.8</v>
      </c>
      <c r="CB51" s="63">
        <v>15.8</v>
      </c>
      <c r="CC51" s="63">
        <v>15.8</v>
      </c>
      <c r="CD51" s="63">
        <v>15.8</v>
      </c>
      <c r="CE51" s="63">
        <v>15.8</v>
      </c>
      <c r="CF51" s="63">
        <v>15.8</v>
      </c>
      <c r="CG51" s="63">
        <v>15.8</v>
      </c>
      <c r="CH51" s="63">
        <v>15.9</v>
      </c>
      <c r="CI51" s="63">
        <v>15.2</v>
      </c>
    </row>
    <row r="52" spans="1:87" s="62" customFormat="1" x14ac:dyDescent="0.2">
      <c r="A52" s="67" t="s">
        <v>2253</v>
      </c>
      <c r="B52" s="68">
        <v>12.692285714285715</v>
      </c>
      <c r="C52" s="68">
        <v>12.692285714285715</v>
      </c>
      <c r="D52" s="68">
        <v>12.692285714285715</v>
      </c>
      <c r="E52" s="68">
        <v>12.692228571428572</v>
      </c>
      <c r="F52" s="68">
        <v>12.692228571428572</v>
      </c>
      <c r="G52" s="68">
        <v>12.692228571428572</v>
      </c>
      <c r="H52" s="68">
        <v>12.692228571428572</v>
      </c>
      <c r="I52" s="68">
        <v>12.692228571428572</v>
      </c>
      <c r="J52" s="68">
        <v>12.692228571428572</v>
      </c>
      <c r="K52" s="68">
        <v>12.40457142857143</v>
      </c>
      <c r="L52" s="68">
        <v>12.40457142857143</v>
      </c>
      <c r="M52" s="68">
        <v>12.40457142857143</v>
      </c>
      <c r="N52" s="68">
        <v>12.918171428571428</v>
      </c>
      <c r="O52" s="68">
        <v>13.052914285714285</v>
      </c>
      <c r="P52" s="68">
        <v>13.052914285714285</v>
      </c>
      <c r="Q52" s="68">
        <v>13.052914285714285</v>
      </c>
      <c r="R52" s="68">
        <v>13.052914285714285</v>
      </c>
      <c r="S52" s="68">
        <v>13.052914285714285</v>
      </c>
      <c r="T52" s="68">
        <v>13.052914285714285</v>
      </c>
      <c r="U52" s="68">
        <v>13.052914285714285</v>
      </c>
      <c r="V52" s="68">
        <v>13.052914285714285</v>
      </c>
      <c r="W52" s="68">
        <v>13.052914285714285</v>
      </c>
      <c r="X52" s="68">
        <v>12.793028571428573</v>
      </c>
      <c r="Y52" s="68">
        <v>12.793028571428573</v>
      </c>
      <c r="Z52" s="68">
        <v>13.118742857142859</v>
      </c>
      <c r="AA52" s="68">
        <v>13.119085714285715</v>
      </c>
      <c r="AB52" s="68">
        <v>13.119085714285715</v>
      </c>
      <c r="AC52" s="68">
        <v>13.238742857142856</v>
      </c>
      <c r="AD52" s="68">
        <v>13.238742857142856</v>
      </c>
      <c r="AE52" s="68">
        <v>13.238742857142856</v>
      </c>
      <c r="AF52" s="68">
        <v>13.238742857142856</v>
      </c>
      <c r="AG52" s="68">
        <v>13.238742857142856</v>
      </c>
      <c r="AH52" s="68">
        <v>13.239085714285716</v>
      </c>
      <c r="AI52" s="68">
        <v>13.171885714285716</v>
      </c>
      <c r="AJ52" s="68">
        <v>13.171885714285716</v>
      </c>
      <c r="AK52" s="68">
        <v>13.171885714285716</v>
      </c>
      <c r="AL52" s="68">
        <v>13.171885714285716</v>
      </c>
      <c r="AM52" s="68">
        <v>13.171885714285716</v>
      </c>
      <c r="AN52" s="68">
        <v>13.254514285714286</v>
      </c>
      <c r="AO52" s="68">
        <v>12.892457142857143</v>
      </c>
      <c r="AP52" s="68">
        <v>12.892457142857143</v>
      </c>
      <c r="AQ52" s="68">
        <v>12.892457142857143</v>
      </c>
      <c r="AR52" s="68">
        <v>13.515085714285714</v>
      </c>
      <c r="AS52" s="68">
        <v>13.515085714285714</v>
      </c>
      <c r="AT52" s="68">
        <v>13.515085714285714</v>
      </c>
      <c r="AU52" s="68">
        <v>13.515085714285714</v>
      </c>
      <c r="AV52" s="68">
        <v>13.5150857142857</v>
      </c>
      <c r="AW52" s="68">
        <v>13.5150857142857</v>
      </c>
      <c r="AX52" s="68">
        <v>13.324</v>
      </c>
      <c r="AY52" s="68">
        <v>13.508914285714287</v>
      </c>
      <c r="AZ52" s="68">
        <v>13.508914285714287</v>
      </c>
      <c r="BA52" s="68">
        <v>13.508914285714287</v>
      </c>
      <c r="BB52" s="68">
        <v>13.508914285714287</v>
      </c>
      <c r="BC52" s="68">
        <v>13.508914285714287</v>
      </c>
      <c r="BD52" s="68">
        <v>13.962514285714285</v>
      </c>
      <c r="BE52" s="68">
        <v>13.962514285714285</v>
      </c>
      <c r="BF52" s="68">
        <v>13.962514285714285</v>
      </c>
      <c r="BG52" s="68">
        <v>13.962514285714301</v>
      </c>
      <c r="BH52" s="68">
        <v>13.962514285714301</v>
      </c>
      <c r="BI52" s="68">
        <v>13.962514285714301</v>
      </c>
      <c r="BJ52" s="68">
        <v>14.77</v>
      </c>
      <c r="BK52" s="68">
        <v>14.77</v>
      </c>
      <c r="BL52" s="68">
        <v>14.77</v>
      </c>
      <c r="BM52" s="68">
        <v>14.77</v>
      </c>
      <c r="BN52" s="68">
        <v>14.77</v>
      </c>
      <c r="BO52" s="68">
        <v>14.77</v>
      </c>
      <c r="BP52" s="63">
        <v>14.77</v>
      </c>
      <c r="BQ52" s="63">
        <v>14.77</v>
      </c>
      <c r="BR52" s="63">
        <v>14.77</v>
      </c>
      <c r="BS52" s="63">
        <v>14.77</v>
      </c>
      <c r="BT52" s="63">
        <v>14.77</v>
      </c>
      <c r="BU52" s="63">
        <v>14.33</v>
      </c>
      <c r="BV52" s="63">
        <v>14.69</v>
      </c>
      <c r="BW52" s="63">
        <v>14.69</v>
      </c>
      <c r="BX52" s="63">
        <v>14.69</v>
      </c>
      <c r="BY52" s="63">
        <v>14.69</v>
      </c>
      <c r="BZ52" s="63">
        <v>14.69</v>
      </c>
      <c r="CA52" s="63">
        <v>15.41</v>
      </c>
      <c r="CB52" s="63">
        <v>15.41</v>
      </c>
      <c r="CC52" s="63">
        <v>15.41</v>
      </c>
      <c r="CD52" s="63">
        <v>15.41</v>
      </c>
      <c r="CE52" s="63">
        <v>15.41</v>
      </c>
      <c r="CF52" s="63">
        <v>15.49</v>
      </c>
      <c r="CG52" s="63">
        <v>15.49</v>
      </c>
      <c r="CH52" s="63">
        <v>15.53</v>
      </c>
      <c r="CI52" s="63">
        <v>16.05</v>
      </c>
    </row>
    <row r="53" spans="1:87" s="62" customFormat="1" x14ac:dyDescent="0.2">
      <c r="A53" s="67" t="s">
        <v>2254</v>
      </c>
      <c r="B53" s="68">
        <v>12.483428571428572</v>
      </c>
      <c r="C53" s="68">
        <v>12.483428571428572</v>
      </c>
      <c r="D53" s="68">
        <v>12.483428571428572</v>
      </c>
      <c r="E53" s="68">
        <v>12.483428571428572</v>
      </c>
      <c r="F53" s="68">
        <v>12.483428571428572</v>
      </c>
      <c r="G53" s="68">
        <v>12.483428571428572</v>
      </c>
      <c r="H53" s="68">
        <v>12.483428571428572</v>
      </c>
      <c r="I53" s="68">
        <v>12.483428571428572</v>
      </c>
      <c r="J53" s="68">
        <v>12.483428571428572</v>
      </c>
      <c r="K53" s="68">
        <v>12.534514285714286</v>
      </c>
      <c r="L53" s="68">
        <v>12.534514285714286</v>
      </c>
      <c r="M53" s="68">
        <v>12.534514285714286</v>
      </c>
      <c r="N53" s="68">
        <v>13.038514285714285</v>
      </c>
      <c r="O53" s="68">
        <v>12.980571428571428</v>
      </c>
      <c r="P53" s="68">
        <v>12.980571428571428</v>
      </c>
      <c r="Q53" s="68">
        <v>12.980571428571428</v>
      </c>
      <c r="R53" s="68">
        <v>12.980571428571428</v>
      </c>
      <c r="S53" s="68">
        <v>12.980571428571428</v>
      </c>
      <c r="T53" s="68">
        <v>12.980571428571428</v>
      </c>
      <c r="U53" s="68">
        <v>12.980571428571428</v>
      </c>
      <c r="V53" s="68">
        <v>12.980571428571428</v>
      </c>
      <c r="W53" s="68">
        <v>12.980571428571428</v>
      </c>
      <c r="X53" s="68">
        <v>12.615428571428572</v>
      </c>
      <c r="Y53" s="68">
        <v>12.615428571428572</v>
      </c>
      <c r="Z53" s="68">
        <v>12.941142857142857</v>
      </c>
      <c r="AA53" s="68">
        <v>12.941142857142857</v>
      </c>
      <c r="AB53" s="68">
        <v>12.941142857142857</v>
      </c>
      <c r="AC53" s="68">
        <v>13.0608</v>
      </c>
      <c r="AD53" s="68">
        <v>13.0608</v>
      </c>
      <c r="AE53" s="68">
        <v>13.0608</v>
      </c>
      <c r="AF53" s="68">
        <v>13.0608</v>
      </c>
      <c r="AG53" s="68">
        <v>13.0608</v>
      </c>
      <c r="AH53" s="68">
        <v>13.061142857142856</v>
      </c>
      <c r="AI53" s="68">
        <v>12.993942857142857</v>
      </c>
      <c r="AJ53" s="68">
        <v>12.993942857142857</v>
      </c>
      <c r="AK53" s="68">
        <v>12.993942857142857</v>
      </c>
      <c r="AL53" s="68">
        <v>12.993942857142857</v>
      </c>
      <c r="AM53" s="68">
        <v>12.652799999999999</v>
      </c>
      <c r="AN53" s="68">
        <v>12.652799999999999</v>
      </c>
      <c r="AO53" s="68">
        <v>12.652799999999999</v>
      </c>
      <c r="AP53" s="68">
        <v>12.652799999999999</v>
      </c>
      <c r="AQ53" s="68">
        <v>12.652799999999999</v>
      </c>
      <c r="AR53" s="68">
        <v>13.029257142857142</v>
      </c>
      <c r="AS53" s="68">
        <v>13.029257142857142</v>
      </c>
      <c r="AT53" s="68">
        <v>13.029257142857142</v>
      </c>
      <c r="AU53" s="68">
        <v>13.029257142857142</v>
      </c>
      <c r="AV53" s="68">
        <v>13.0292571428571</v>
      </c>
      <c r="AW53" s="68">
        <v>13.0292571428571</v>
      </c>
      <c r="AX53" s="68">
        <v>12.919714285714285</v>
      </c>
      <c r="AY53" s="68">
        <v>13.43382857142857</v>
      </c>
      <c r="AZ53" s="68">
        <v>13.43382857142857</v>
      </c>
      <c r="BA53" s="68">
        <v>13.43382857142857</v>
      </c>
      <c r="BB53" s="68">
        <v>13.43382857142857</v>
      </c>
      <c r="BC53" s="68">
        <v>13.43382857142857</v>
      </c>
      <c r="BD53" s="68">
        <v>13.402285714285714</v>
      </c>
      <c r="BE53" s="68">
        <v>13.402285714285714</v>
      </c>
      <c r="BF53" s="68">
        <v>13.402285714285714</v>
      </c>
      <c r="BG53" s="68">
        <v>13.4022857142857</v>
      </c>
      <c r="BH53" s="68">
        <v>13.4022857142857</v>
      </c>
      <c r="BI53" s="68">
        <v>13.4022857142857</v>
      </c>
      <c r="BJ53" s="68">
        <v>13.89</v>
      </c>
      <c r="BK53" s="68">
        <v>13.89</v>
      </c>
      <c r="BL53" s="68">
        <v>13.89</v>
      </c>
      <c r="BM53" s="68">
        <v>13.89</v>
      </c>
      <c r="BN53" s="68">
        <v>13.89</v>
      </c>
      <c r="BO53" s="68">
        <v>13.89</v>
      </c>
      <c r="BP53" s="63">
        <v>13.89</v>
      </c>
      <c r="BQ53" s="63">
        <v>13.89</v>
      </c>
      <c r="BR53" s="63">
        <v>13.89</v>
      </c>
      <c r="BS53" s="63">
        <v>13.89</v>
      </c>
      <c r="BT53" s="63">
        <v>13.89</v>
      </c>
      <c r="BU53" s="63">
        <v>13.44</v>
      </c>
      <c r="BV53" s="63">
        <v>13.77</v>
      </c>
      <c r="BW53" s="63">
        <v>13.77</v>
      </c>
      <c r="BX53" s="63">
        <v>13.77</v>
      </c>
      <c r="BY53" s="63">
        <v>13.77</v>
      </c>
      <c r="BZ53" s="63">
        <v>13.77</v>
      </c>
      <c r="CA53" s="63">
        <v>14.49</v>
      </c>
      <c r="CB53" s="63">
        <v>14.49</v>
      </c>
      <c r="CC53" s="63">
        <v>14.49</v>
      </c>
      <c r="CD53" s="63">
        <v>14.49</v>
      </c>
      <c r="CE53" s="63">
        <v>14.49</v>
      </c>
      <c r="CF53" s="63">
        <v>14.57</v>
      </c>
      <c r="CG53" s="63">
        <v>14.57</v>
      </c>
      <c r="CH53" s="63">
        <v>14.76</v>
      </c>
      <c r="CI53" s="63">
        <v>14.76</v>
      </c>
    </row>
    <row r="54" spans="1:87" s="62" customFormat="1" x14ac:dyDescent="0.2">
      <c r="A54" s="67" t="s">
        <v>2255</v>
      </c>
      <c r="B54" s="68">
        <v>15.605142857142855</v>
      </c>
      <c r="C54" s="68">
        <v>15.605142857142855</v>
      </c>
      <c r="D54" s="68">
        <v>15.605142857142855</v>
      </c>
      <c r="E54" s="68">
        <v>15.605485714285715</v>
      </c>
      <c r="F54" s="68">
        <v>15.605485714285715</v>
      </c>
      <c r="G54" s="68">
        <v>15.605485714285715</v>
      </c>
      <c r="H54" s="68">
        <v>15.605485714285715</v>
      </c>
      <c r="I54" s="68">
        <v>15.605485714285715</v>
      </c>
      <c r="J54" s="68">
        <v>15.605142857142855</v>
      </c>
      <c r="K54" s="68">
        <v>15.776571428571428</v>
      </c>
      <c r="L54" s="68">
        <v>15.776571428571428</v>
      </c>
      <c r="M54" s="68">
        <v>15.776571428571428</v>
      </c>
      <c r="N54" s="68">
        <v>15.936342857142856</v>
      </c>
      <c r="O54" s="68">
        <v>15.878400000000001</v>
      </c>
      <c r="P54" s="68">
        <v>15.878400000000001</v>
      </c>
      <c r="Q54" s="68">
        <v>15.878400000000001</v>
      </c>
      <c r="R54" s="68">
        <v>15.878400000000001</v>
      </c>
      <c r="S54" s="68">
        <v>15.878400000000001</v>
      </c>
      <c r="T54" s="68">
        <v>15.878400000000001</v>
      </c>
      <c r="U54" s="68">
        <v>15.878400000000001</v>
      </c>
      <c r="V54" s="68">
        <v>15.878400000000001</v>
      </c>
      <c r="W54" s="68">
        <v>15.878400000000001</v>
      </c>
      <c r="X54" s="68">
        <v>15.878400000000001</v>
      </c>
      <c r="Y54" s="68">
        <v>15.878400000000001</v>
      </c>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3"/>
      <c r="BQ54" s="63"/>
      <c r="BR54" s="63"/>
      <c r="BS54" s="63"/>
      <c r="BT54" s="63"/>
      <c r="BU54" s="63"/>
      <c r="BV54" s="63"/>
      <c r="BW54" s="63"/>
      <c r="BX54" s="63"/>
      <c r="BY54" s="63"/>
      <c r="BZ54" s="63"/>
      <c r="CA54" s="63"/>
      <c r="CB54" s="63"/>
      <c r="CC54" s="63"/>
      <c r="CD54" s="63"/>
      <c r="CE54" s="63"/>
      <c r="CF54" s="63"/>
      <c r="CG54" s="63"/>
      <c r="CH54" s="63"/>
      <c r="CI54" s="63"/>
    </row>
    <row r="55" spans="1:87" s="62" customFormat="1" ht="13.6" x14ac:dyDescent="0.25">
      <c r="B55" s="69">
        <f t="shared" ref="B55:AG55" si="0">AVERAGE(B41:B54)</f>
        <v>14.653040816326527</v>
      </c>
      <c r="C55" s="69">
        <f t="shared" si="0"/>
        <v>14.660448979591834</v>
      </c>
      <c r="D55" s="69">
        <f t="shared" si="0"/>
        <v>14.667163265306119</v>
      </c>
      <c r="E55" s="69">
        <f t="shared" si="0"/>
        <v>14.547257142857145</v>
      </c>
      <c r="F55" s="69">
        <f t="shared" si="0"/>
        <v>14.43962448979592</v>
      </c>
      <c r="G55" s="69">
        <f t="shared" si="0"/>
        <v>14.399632653061227</v>
      </c>
      <c r="H55" s="69">
        <f t="shared" si="0"/>
        <v>14.391502040816325</v>
      </c>
      <c r="I55" s="69">
        <f t="shared" si="0"/>
        <v>14.41618775510204</v>
      </c>
      <c r="J55" s="69">
        <f t="shared" si="0"/>
        <v>14.417363265306124</v>
      </c>
      <c r="K55" s="69">
        <f t="shared" si="0"/>
        <v>14.429608163265311</v>
      </c>
      <c r="L55" s="69">
        <f t="shared" si="0"/>
        <v>14.429608163265311</v>
      </c>
      <c r="M55" s="69">
        <f t="shared" si="0"/>
        <v>14.429608163265311</v>
      </c>
      <c r="N55" s="69">
        <f t="shared" si="0"/>
        <v>14.722726530612245</v>
      </c>
      <c r="O55" s="69">
        <f t="shared" si="0"/>
        <v>14.679159183673468</v>
      </c>
      <c r="P55" s="69">
        <f t="shared" si="0"/>
        <v>14.699314285714285</v>
      </c>
      <c r="Q55" s="69">
        <f t="shared" si="0"/>
        <v>14.71545306122449</v>
      </c>
      <c r="R55" s="69">
        <f t="shared" si="0"/>
        <v>14.706636734693877</v>
      </c>
      <c r="S55" s="69">
        <f t="shared" si="0"/>
        <v>14.706636734693877</v>
      </c>
      <c r="T55" s="69">
        <f t="shared" si="0"/>
        <v>14.706636734693877</v>
      </c>
      <c r="U55" s="69">
        <f t="shared" si="0"/>
        <v>14.706636734693877</v>
      </c>
      <c r="V55" s="69">
        <f t="shared" si="0"/>
        <v>14.706636734693877</v>
      </c>
      <c r="W55" s="69">
        <f t="shared" si="0"/>
        <v>14.706636734693877</v>
      </c>
      <c r="X55" s="69">
        <f t="shared" si="0"/>
        <v>14.438253061224488</v>
      </c>
      <c r="Y55" s="69">
        <f t="shared" si="0"/>
        <v>14.438253061224488</v>
      </c>
      <c r="Z55" s="69">
        <f t="shared" si="0"/>
        <v>14.708228571428574</v>
      </c>
      <c r="AA55" s="69">
        <f t="shared" si="0"/>
        <v>14.708254945054948</v>
      </c>
      <c r="AB55" s="69">
        <f t="shared" si="0"/>
        <v>14.708254945054948</v>
      </c>
      <c r="AC55" s="69">
        <f t="shared" si="0"/>
        <v>14.827912087912088</v>
      </c>
      <c r="AD55" s="69">
        <f t="shared" si="0"/>
        <v>14.827912087912088</v>
      </c>
      <c r="AE55" s="69">
        <f t="shared" si="0"/>
        <v>14.827912087912088</v>
      </c>
      <c r="AF55" s="69">
        <f t="shared" si="0"/>
        <v>14.827912087912088</v>
      </c>
      <c r="AG55" s="69">
        <f t="shared" si="0"/>
        <v>14.827226373626372</v>
      </c>
      <c r="AH55" s="69">
        <f t="shared" ref="AH55:BM55" si="1">AVERAGE(AH41:AH54)</f>
        <v>14.827569230769235</v>
      </c>
      <c r="AI55" s="69">
        <f t="shared" si="1"/>
        <v>14.77563956043956</v>
      </c>
      <c r="AJ55" s="69">
        <f t="shared" si="1"/>
        <v>14.793942857142856</v>
      </c>
      <c r="AK55" s="69">
        <f t="shared" si="1"/>
        <v>14.788773626373626</v>
      </c>
      <c r="AL55" s="69">
        <f t="shared" si="1"/>
        <v>14.788773626373626</v>
      </c>
      <c r="AM55" s="69">
        <f t="shared" si="1"/>
        <v>14.547870329670328</v>
      </c>
      <c r="AN55" s="69">
        <f t="shared" si="1"/>
        <v>14.545345054945056</v>
      </c>
      <c r="AO55" s="69">
        <f t="shared" si="1"/>
        <v>14.372782417582417</v>
      </c>
      <c r="AP55" s="69">
        <f t="shared" si="1"/>
        <v>14.372782417582417</v>
      </c>
      <c r="AQ55" s="69">
        <f t="shared" si="1"/>
        <v>14.062826373626361</v>
      </c>
      <c r="AR55" s="69">
        <f t="shared" si="1"/>
        <v>14.396043956043957</v>
      </c>
      <c r="AS55" s="69">
        <f t="shared" si="1"/>
        <v>14.396043956043957</v>
      </c>
      <c r="AT55" s="69">
        <f t="shared" si="1"/>
        <v>14.396043956043957</v>
      </c>
      <c r="AU55" s="69">
        <f t="shared" si="1"/>
        <v>14.396043956043957</v>
      </c>
      <c r="AV55" s="69">
        <f t="shared" si="1"/>
        <v>14.396043956043968</v>
      </c>
      <c r="AW55" s="69">
        <f t="shared" si="1"/>
        <v>14.396043956043968</v>
      </c>
      <c r="AX55" s="69">
        <f t="shared" si="1"/>
        <v>14.229296703296702</v>
      </c>
      <c r="AY55" s="69">
        <f t="shared" si="1"/>
        <v>14.734786813186812</v>
      </c>
      <c r="AZ55" s="69">
        <f t="shared" si="1"/>
        <v>14.734786813186812</v>
      </c>
      <c r="BA55" s="69">
        <f t="shared" si="1"/>
        <v>14.734786813186812</v>
      </c>
      <c r="BB55" s="69">
        <f t="shared" si="1"/>
        <v>14.734786813186812</v>
      </c>
      <c r="BC55" s="69">
        <f t="shared" si="1"/>
        <v>14.734786813186812</v>
      </c>
      <c r="BD55" s="69">
        <f t="shared" si="1"/>
        <v>14.693723076923078</v>
      </c>
      <c r="BE55" s="69">
        <f t="shared" si="1"/>
        <v>14.693723076923078</v>
      </c>
      <c r="BF55" s="69">
        <f t="shared" si="1"/>
        <v>14.693723076923078</v>
      </c>
      <c r="BG55" s="69">
        <f t="shared" si="1"/>
        <v>14.693723076923087</v>
      </c>
      <c r="BH55" s="69">
        <f t="shared" si="1"/>
        <v>14.693723076923087</v>
      </c>
      <c r="BI55" s="69">
        <f t="shared" si="1"/>
        <v>14.69372307692309</v>
      </c>
      <c r="BJ55" s="69">
        <f t="shared" si="1"/>
        <v>15.801362637362637</v>
      </c>
      <c r="BK55" s="69">
        <f t="shared" si="1"/>
        <v>15.801362637362637</v>
      </c>
      <c r="BL55" s="69">
        <f t="shared" si="1"/>
        <v>15.801362637362637</v>
      </c>
      <c r="BM55" s="69">
        <f t="shared" si="1"/>
        <v>15.801362637362637</v>
      </c>
      <c r="BN55" s="69">
        <f t="shared" ref="BN55:CI55" si="2">AVERAGE(BN41:BN54)</f>
        <v>15.801362637362637</v>
      </c>
      <c r="BO55" s="69">
        <f t="shared" si="2"/>
        <v>15.801362637362637</v>
      </c>
      <c r="BP55" s="69">
        <f t="shared" si="2"/>
        <v>15.801538461538463</v>
      </c>
      <c r="BQ55" s="69">
        <f t="shared" si="2"/>
        <v>15.801538461538463</v>
      </c>
      <c r="BR55" s="69">
        <f t="shared" si="2"/>
        <v>15.801538461538463</v>
      </c>
      <c r="BS55" s="69">
        <f t="shared" si="2"/>
        <v>15.801538461538463</v>
      </c>
      <c r="BT55" s="69">
        <f t="shared" si="2"/>
        <v>15.801538461538463</v>
      </c>
      <c r="BU55" s="69">
        <f t="shared" si="2"/>
        <v>15.357692307692311</v>
      </c>
      <c r="BV55" s="69">
        <f t="shared" si="2"/>
        <v>15.75</v>
      </c>
      <c r="BW55" s="69">
        <f t="shared" si="2"/>
        <v>15.75</v>
      </c>
      <c r="BX55" s="69">
        <f t="shared" si="2"/>
        <v>15.75</v>
      </c>
      <c r="BY55" s="69">
        <f t="shared" si="2"/>
        <v>15.75</v>
      </c>
      <c r="BZ55" s="69">
        <f t="shared" si="2"/>
        <v>15.75</v>
      </c>
      <c r="CA55" s="69">
        <f t="shared" si="2"/>
        <v>16.454615384615384</v>
      </c>
      <c r="CB55" s="69">
        <f t="shared" si="2"/>
        <v>16.454615384615384</v>
      </c>
      <c r="CC55" s="69">
        <f t="shared" si="2"/>
        <v>16.454615384615384</v>
      </c>
      <c r="CD55" s="69">
        <f t="shared" si="2"/>
        <v>16.454615384615384</v>
      </c>
      <c r="CE55" s="69">
        <f t="shared" si="2"/>
        <v>16.454615384615384</v>
      </c>
      <c r="CF55" s="69">
        <f t="shared" si="2"/>
        <v>16.424615384615386</v>
      </c>
      <c r="CG55" s="69">
        <f t="shared" si="2"/>
        <v>16.437692307692313</v>
      </c>
      <c r="CH55" s="69">
        <f t="shared" si="2"/>
        <v>16.411538461538463</v>
      </c>
      <c r="CI55" s="69">
        <f t="shared" si="2"/>
        <v>16.013846153846156</v>
      </c>
    </row>
    <row r="92" spans="2:8" ht="13.75" customHeight="1" x14ac:dyDescent="0.2"/>
    <row r="94" spans="2:8" x14ac:dyDescent="0.2">
      <c r="B94" s="70" t="s">
        <v>2257</v>
      </c>
      <c r="C94" s="71"/>
      <c r="D94" s="71"/>
      <c r="E94" s="71"/>
      <c r="F94" s="71"/>
      <c r="G94" s="72">
        <f>CI55</f>
        <v>16.013846153846156</v>
      </c>
      <c r="H94" s="71" t="s">
        <v>2258</v>
      </c>
    </row>
    <row r="95" spans="2:8" x14ac:dyDescent="0.2">
      <c r="B95" s="70" t="s">
        <v>2259</v>
      </c>
      <c r="C95" s="71"/>
      <c r="D95" s="71"/>
      <c r="E95" s="71"/>
      <c r="F95" s="71"/>
      <c r="G95" s="71">
        <v>21.5</v>
      </c>
      <c r="H95" s="71" t="s">
        <v>2258</v>
      </c>
    </row>
    <row r="96" spans="2:8" x14ac:dyDescent="0.2">
      <c r="B96" s="70" t="s">
        <v>2261</v>
      </c>
      <c r="C96" s="71"/>
      <c r="D96" s="71"/>
      <c r="E96" s="71"/>
      <c r="F96" s="71"/>
      <c r="G96" s="71">
        <v>5.59</v>
      </c>
      <c r="H96" s="71" t="s">
        <v>2258</v>
      </c>
    </row>
    <row r="97" spans="1:8" x14ac:dyDescent="0.2">
      <c r="B97" s="71"/>
      <c r="C97" s="71"/>
      <c r="D97" s="71"/>
      <c r="E97" s="71"/>
      <c r="F97" s="71"/>
      <c r="G97" s="71"/>
      <c r="H97" s="71"/>
    </row>
    <row r="102" spans="1:8" ht="12.9" x14ac:dyDescent="0.2">
      <c r="A102" s="73">
        <f>$B$55*(1+(D102/100))^7</f>
        <v>16.26260280854213</v>
      </c>
      <c r="D102" s="71">
        <v>1.5</v>
      </c>
    </row>
    <row r="103" spans="1:8" ht="12.9" x14ac:dyDescent="0.2">
      <c r="A103" s="73" t="e">
        <f>Eingabe!#REF!*(1+(Eingabe!$G$71/100))^Berechnungen!#REF!</f>
        <v>#REF!</v>
      </c>
    </row>
    <row r="104" spans="1:8" ht="12.9" x14ac:dyDescent="0.2">
      <c r="A104" s="73" t="e">
        <f>Eingabe!#REF!*(1+(Eingabe!$G$71/100))^Berechnungen!#REF!</f>
        <v>#REF!</v>
      </c>
    </row>
    <row r="105" spans="1:8" ht="12.9" x14ac:dyDescent="0.2">
      <c r="A105" s="73" t="e">
        <f>Eingabe!#REF!*(1+(Eingabe!$G$71/100))^Berechnungen!#REF!</f>
        <v>#REF!</v>
      </c>
    </row>
    <row r="106" spans="1:8" ht="12.9" x14ac:dyDescent="0.2">
      <c r="A106" s="73" t="e">
        <f>Eingabe!#REF!*(1+(Eingabe!$G$71/100))^Berechnungen!#REF!</f>
        <v>#REF!</v>
      </c>
    </row>
    <row r="107" spans="1:8" ht="12.9" x14ac:dyDescent="0.2">
      <c r="A107" s="73" t="e">
        <f>Eingabe!#REF!*(1+(Eingabe!$G$71/100))^Berechnungen!#REF!</f>
        <v>#REF!</v>
      </c>
    </row>
    <row r="108" spans="1:8" ht="12.9" x14ac:dyDescent="0.2">
      <c r="A108" s="73" t="e">
        <f>Eingabe!#REF!*(1+(Eingabe!$G$71/100))^Berechnungen!#REF!</f>
        <v>#REF!</v>
      </c>
    </row>
    <row r="109" spans="1:8" ht="12.9" x14ac:dyDescent="0.2">
      <c r="A109" s="73" t="e">
        <f>Eingabe!#REF!*(1+(Eingabe!$G$71/100))^Berechnungen!#REF!</f>
        <v>#REF!</v>
      </c>
    </row>
    <row r="110" spans="1:8" ht="12.9" x14ac:dyDescent="0.2">
      <c r="A110" s="73" t="e">
        <f>Eingabe!#REF!*(1+(Eingabe!$G$71/100))^Berechnungen!#REF!</f>
        <v>#REF!</v>
      </c>
    </row>
    <row r="111" spans="1:8" ht="12.9" x14ac:dyDescent="0.2">
      <c r="A111" s="73" t="e">
        <f>Eingabe!#REF!*(1+(Eingabe!$G$71/100))^Berechnungen!#REF!</f>
        <v>#REF!</v>
      </c>
    </row>
    <row r="112" spans="1:8" ht="12.9" x14ac:dyDescent="0.2">
      <c r="A112" s="73" t="e">
        <f>Eingabe!#REF!*(1+(Eingabe!$G$71/100))^Berechnungen!#REF!</f>
        <v>#REF!</v>
      </c>
    </row>
    <row r="113" spans="1:1" ht="12.9" x14ac:dyDescent="0.2">
      <c r="A113" s="73" t="e">
        <f>Eingabe!#REF!*(1+(Eingabe!$G$71/100))^Berechnungen!#REF!</f>
        <v>#REF!</v>
      </c>
    </row>
    <row r="114" spans="1:1" ht="12.9" x14ac:dyDescent="0.2">
      <c r="A114" s="73" t="e">
        <f>Eingabe!#REF!*(1+(Eingabe!$G$71/100))^Berechnungen!#REF!</f>
        <v>#REF!</v>
      </c>
    </row>
    <row r="115" spans="1:1" ht="12.9" x14ac:dyDescent="0.2">
      <c r="A115" s="73" t="e">
        <f>Eingabe!#REF!*(1+(Eingabe!$G$71/100))^Berechnungen!#REF!</f>
        <v>#REF!</v>
      </c>
    </row>
    <row r="116" spans="1:1" ht="12.9" x14ac:dyDescent="0.2">
      <c r="A116" s="73" t="e">
        <f>Eingabe!#REF!*(1+(Eingabe!$G$71/100))^Berechnungen!#REF!</f>
        <v>#REF!</v>
      </c>
    </row>
    <row r="117" spans="1:1" ht="12.9" x14ac:dyDescent="0.2">
      <c r="A117" s="73" t="e">
        <f>Eingabe!#REF!*(1+(Eingabe!$G$71/100))^Berechnungen!#REF!</f>
        <v>#REF!</v>
      </c>
    </row>
    <row r="118" spans="1:1" ht="12.9" x14ac:dyDescent="0.2">
      <c r="A118" s="73" t="e">
        <f>Eingabe!#REF!*(1+(Eingabe!$G$71/100))^Berechnungen!#REF!</f>
        <v>#REF!</v>
      </c>
    </row>
    <row r="119" spans="1:1" ht="12.9" x14ac:dyDescent="0.2">
      <c r="A119" s="73" t="e">
        <f>Eingabe!#REF!*(1+(Eingabe!$G$71/100))^Berechnungen!#REF!</f>
        <v>#REF!</v>
      </c>
    </row>
    <row r="120" spans="1:1" ht="12.9" x14ac:dyDescent="0.2">
      <c r="A120" s="73" t="e">
        <f>Eingabe!#REF!*(1+(Eingabe!$G$71/100))^Berechnungen!#REF!</f>
        <v>#REF!</v>
      </c>
    </row>
    <row r="121" spans="1:1" ht="12.9" x14ac:dyDescent="0.2">
      <c r="A121" s="73" t="e">
        <f>Eingabe!#REF!*(1+(Eingabe!$G$71/100))^Berechnungen!#REF!</f>
        <v>#REF!</v>
      </c>
    </row>
    <row r="122" spans="1:1" ht="12.9" x14ac:dyDescent="0.2">
      <c r="A122" s="73" t="e">
        <f>Eingabe!#REF!*(1+(Eingabe!$G$71/100))^Berechnungen!#REF!</f>
        <v>#REF!</v>
      </c>
    </row>
    <row r="123" spans="1:1" ht="12.9" x14ac:dyDescent="0.2">
      <c r="A123" s="73" t="e">
        <f>Eingabe!#REF!*(1+(Eingabe!$G$71/100))^Berechnungen!#REF!</f>
        <v>#REF!</v>
      </c>
    </row>
    <row r="124" spans="1:1" ht="12.9" x14ac:dyDescent="0.2">
      <c r="A124" s="73" t="e">
        <f>Eingabe!#REF!*(1+(Eingabe!$G$71/100))^Berechnungen!#REF!</f>
        <v>#REF!</v>
      </c>
    </row>
    <row r="125" spans="1:1" ht="12.9" x14ac:dyDescent="0.2">
      <c r="A125" s="73" t="e">
        <f>Eingabe!#REF!*(1+(Eingabe!$G$71/100))^Berechnungen!#REF!</f>
        <v>#REF!</v>
      </c>
    </row>
    <row r="126" spans="1:1" ht="12.9" x14ac:dyDescent="0.2">
      <c r="A126" s="73" t="e">
        <f>Eingabe!#REF!*(1+(Eingabe!$G$71/100))^Berechnungen!#REF!</f>
        <v>#REF!</v>
      </c>
    </row>
  </sheetData>
  <sheetProtection selectLockedCells="1"/>
  <mergeCells count="1">
    <mergeCell ref="E1:U1"/>
  </mergeCells>
  <phoneticPr fontId="0" type="noConversion"/>
  <hyperlinks>
    <hyperlink ref="E1" r:id="rId1"/>
  </hyperlinks>
  <pageMargins left="0.78740157480314965" right="0.78740157480314965" top="0.98425196850393704" bottom="0.98425196850393704" header="0.51181102362204722" footer="0.51181102362204722"/>
  <pageSetup paperSize="9" scale="50" orientation="landscape" horizontalDpi="4294967293"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V509"/>
  <sheetViews>
    <sheetView workbookViewId="0">
      <selection activeCell="E2" sqref="E2:H2"/>
    </sheetView>
  </sheetViews>
  <sheetFormatPr baseColWidth="10" defaultColWidth="11.375" defaultRowHeight="12.9" x14ac:dyDescent="0.2"/>
  <cols>
    <col min="5" max="5" width="11.375" customWidth="1"/>
    <col min="17" max="19" width="12.625" customWidth="1"/>
    <col min="20" max="21" width="19.25" customWidth="1"/>
    <col min="22" max="22" width="22" customWidth="1"/>
  </cols>
  <sheetData>
    <row r="1" spans="1:22" ht="17" x14ac:dyDescent="0.35">
      <c r="A1" s="755" t="s">
        <v>3413</v>
      </c>
      <c r="B1" s="755"/>
      <c r="C1" s="755"/>
      <c r="D1" s="301"/>
      <c r="E1" s="755" t="s">
        <v>3412</v>
      </c>
      <c r="F1" s="755"/>
      <c r="G1" s="755"/>
      <c r="H1" s="755"/>
      <c r="I1" s="294"/>
      <c r="J1" s="294"/>
      <c r="L1" s="755" t="s">
        <v>3406</v>
      </c>
      <c r="M1" s="755"/>
      <c r="N1" s="755"/>
      <c r="O1" s="755"/>
      <c r="P1" s="755"/>
      <c r="R1" s="655" t="s">
        <v>3415</v>
      </c>
      <c r="T1" s="652" t="s">
        <v>2869</v>
      </c>
      <c r="U1" s="652" t="s">
        <v>2880</v>
      </c>
      <c r="V1" s="652" t="s">
        <v>3414</v>
      </c>
    </row>
    <row r="2" spans="1:22" ht="13.6" x14ac:dyDescent="0.25">
      <c r="A2" s="654" t="s">
        <v>2572</v>
      </c>
      <c r="B2" s="653"/>
      <c r="C2" s="654">
        <f>(IF((Eingabe!M17-$O$5)&gt;5,(Eingabe!M17-$O$5)*$M$5,5*$M$5)+IF((Eingabe!M22-$O$3)&gt;5,(Eingabe!M22-$O$3)*$M$3,5*$M$3))*12</f>
        <v>328.32</v>
      </c>
      <c r="D2" s="653"/>
      <c r="E2" s="756">
        <f>VLOOKUP(Eingabe!C42,'Motorbez. Versicherungssteuer'!A2:C5,3,FALSE)</f>
        <v>328.32</v>
      </c>
      <c r="F2" s="756"/>
      <c r="G2" s="756"/>
      <c r="H2" s="756"/>
      <c r="I2" s="294"/>
      <c r="J2" s="294"/>
      <c r="L2" s="294"/>
      <c r="T2" s="652" t="s">
        <v>2834</v>
      </c>
      <c r="U2" s="652" t="s">
        <v>2505</v>
      </c>
      <c r="V2" s="652" t="s">
        <v>2501</v>
      </c>
    </row>
    <row r="3" spans="1:22" ht="13.6" x14ac:dyDescent="0.25">
      <c r="A3" s="654" t="s">
        <v>2574</v>
      </c>
      <c r="B3" s="653"/>
      <c r="C3" s="654">
        <f>(IF((Eingabe!M17-$O$5)&gt;5,(Eingabe!M17-$O$5)*$M$5,5*$M$5)+IF((Eingabe!M22-$O$3)&gt;5,(Eingabe!M22-$O$3)*$M$3,5*$M$3))*6</f>
        <v>164.16</v>
      </c>
      <c r="D3" s="653"/>
      <c r="I3" s="294"/>
      <c r="J3" s="294"/>
      <c r="L3" s="297" t="s">
        <v>3407</v>
      </c>
      <c r="M3" s="297">
        <v>0.72</v>
      </c>
      <c r="N3" s="297" t="s">
        <v>3408</v>
      </c>
      <c r="O3" s="649">
        <f>VLOOKUP(R3,T3:V7,2,TRUE)</f>
        <v>115</v>
      </c>
      <c r="P3" s="650" t="s">
        <v>3409</v>
      </c>
      <c r="R3" s="297">
        <v>2020</v>
      </c>
      <c r="T3" s="230">
        <v>2020</v>
      </c>
      <c r="U3" s="230">
        <v>115</v>
      </c>
      <c r="V3" s="230">
        <v>65</v>
      </c>
    </row>
    <row r="4" spans="1:22" ht="13.6" x14ac:dyDescent="0.25">
      <c r="A4" s="654" t="s">
        <v>2575</v>
      </c>
      <c r="B4" s="653"/>
      <c r="C4" s="654">
        <f>(IF((Eingabe!M17-$O$5)&gt;5,(Eingabe!M17-$O$5)*$M$5,5*$M$5)+IF((Eingabe!M22-$O$3)&gt;5,(Eingabe!M22-$O$3)*$M$3,5*$M$3))*3</f>
        <v>82.08</v>
      </c>
      <c r="D4" s="653"/>
      <c r="E4" s="653"/>
      <c r="F4" s="301"/>
      <c r="G4" s="294"/>
      <c r="H4" s="294"/>
      <c r="I4" s="294"/>
      <c r="J4" s="294"/>
      <c r="L4" s="651"/>
      <c r="M4" s="651"/>
      <c r="N4" s="651"/>
      <c r="O4" s="651"/>
      <c r="P4" s="651"/>
      <c r="T4" s="230">
        <v>2021</v>
      </c>
      <c r="U4" s="230">
        <v>112</v>
      </c>
      <c r="V4" s="230">
        <v>64</v>
      </c>
    </row>
    <row r="5" spans="1:22" ht="13.6" x14ac:dyDescent="0.25">
      <c r="A5" s="654" t="s">
        <v>2573</v>
      </c>
      <c r="B5" s="653"/>
      <c r="C5" s="654">
        <f>(IF((Eingabe!M17-$O$5)&gt;5,(Eingabe!M17-$O$5)*$M$5,5*$M$5)+IF((Eingabe!M22-$O$3)&gt;5,(Eingabe!M22-$O$3)*$M$3,5*$M$3))</f>
        <v>27.36</v>
      </c>
      <c r="D5" s="653"/>
      <c r="E5" s="653"/>
      <c r="F5" s="301"/>
      <c r="G5" s="294"/>
      <c r="H5" s="294"/>
      <c r="I5" s="294"/>
      <c r="J5" s="294"/>
      <c r="L5" s="297" t="s">
        <v>2496</v>
      </c>
      <c r="M5" s="297">
        <v>0.72</v>
      </c>
      <c r="N5" s="297" t="s">
        <v>3410</v>
      </c>
      <c r="O5" s="649">
        <f>VLOOKUP(R3,T3:V7,3,TRUE)</f>
        <v>65</v>
      </c>
      <c r="P5" s="650" t="s">
        <v>3411</v>
      </c>
      <c r="T5" s="230">
        <v>2022</v>
      </c>
      <c r="U5" s="230">
        <v>109</v>
      </c>
      <c r="V5" s="230">
        <v>63</v>
      </c>
    </row>
    <row r="6" spans="1:22" ht="13.6" x14ac:dyDescent="0.25">
      <c r="A6" s="301"/>
      <c r="B6" s="301"/>
      <c r="C6" s="301"/>
      <c r="D6" s="301"/>
      <c r="E6" s="301"/>
      <c r="F6" s="301"/>
      <c r="G6" s="294"/>
      <c r="H6" s="294"/>
      <c r="I6" s="294"/>
      <c r="J6" s="294"/>
      <c r="T6" s="230">
        <v>2023</v>
      </c>
      <c r="U6" s="230">
        <v>106</v>
      </c>
      <c r="V6" s="230">
        <v>62</v>
      </c>
    </row>
    <row r="7" spans="1:22" ht="13.6" x14ac:dyDescent="0.25">
      <c r="A7" s="296" t="s">
        <v>2496</v>
      </c>
      <c r="B7" s="300" t="s">
        <v>2581</v>
      </c>
      <c r="C7" s="753" t="s">
        <v>2579</v>
      </c>
      <c r="D7" s="753"/>
      <c r="E7" s="753"/>
      <c r="F7" s="753"/>
      <c r="G7" s="753" t="s">
        <v>2578</v>
      </c>
      <c r="H7" s="753"/>
      <c r="I7" s="753"/>
      <c r="J7" s="753"/>
      <c r="T7" s="230">
        <v>2024</v>
      </c>
      <c r="U7" s="230">
        <v>103</v>
      </c>
      <c r="V7" s="230">
        <v>61</v>
      </c>
    </row>
    <row r="8" spans="1:22" x14ac:dyDescent="0.2">
      <c r="A8" s="296" t="s">
        <v>2501</v>
      </c>
      <c r="B8" s="297"/>
      <c r="C8" s="753" t="s">
        <v>2580</v>
      </c>
      <c r="D8" s="754"/>
      <c r="E8" s="754"/>
      <c r="F8" s="754"/>
      <c r="G8" s="753" t="s">
        <v>2552</v>
      </c>
      <c r="H8" s="754"/>
      <c r="I8" s="754"/>
      <c r="J8" s="754"/>
    </row>
    <row r="9" spans="1:22" x14ac:dyDescent="0.2">
      <c r="A9" s="297"/>
      <c r="B9" s="297"/>
      <c r="C9" s="296" t="s">
        <v>2572</v>
      </c>
      <c r="D9" s="296" t="s">
        <v>2574</v>
      </c>
      <c r="E9" s="296" t="s">
        <v>2575</v>
      </c>
      <c r="F9" s="296" t="s">
        <v>2573</v>
      </c>
      <c r="G9" s="296" t="s">
        <v>2572</v>
      </c>
      <c r="H9" s="296" t="s">
        <v>2574</v>
      </c>
      <c r="I9" s="296" t="s">
        <v>2575</v>
      </c>
      <c r="J9" s="296" t="s">
        <v>2573</v>
      </c>
    </row>
    <row r="10" spans="1:22" x14ac:dyDescent="0.2">
      <c r="A10" s="297">
        <v>1</v>
      </c>
      <c r="B10" s="297">
        <v>1</v>
      </c>
      <c r="C10" s="297">
        <v>0</v>
      </c>
      <c r="D10" s="297">
        <v>0</v>
      </c>
      <c r="E10" s="297">
        <v>0</v>
      </c>
      <c r="F10" s="297">
        <v>0</v>
      </c>
      <c r="G10" s="299">
        <f>C10*A10*12</f>
        <v>0</v>
      </c>
      <c r="H10" s="299">
        <f t="shared" ref="H10:J25" si="0">D10*B10*12</f>
        <v>0</v>
      </c>
      <c r="I10" s="299">
        <f t="shared" si="0"/>
        <v>0</v>
      </c>
      <c r="J10" s="299">
        <f t="shared" si="0"/>
        <v>0</v>
      </c>
    </row>
    <row r="11" spans="1:22" x14ac:dyDescent="0.2">
      <c r="A11" s="297">
        <v>2</v>
      </c>
      <c r="B11" s="297">
        <v>2</v>
      </c>
      <c r="C11" s="297">
        <v>0</v>
      </c>
      <c r="D11" s="297">
        <v>0</v>
      </c>
      <c r="E11" s="297">
        <v>0</v>
      </c>
      <c r="F11" s="297">
        <v>0</v>
      </c>
      <c r="G11" s="299">
        <f t="shared" ref="G11:G33" si="1">C11*A11*12</f>
        <v>0</v>
      </c>
      <c r="H11" s="299">
        <f t="shared" si="0"/>
        <v>0</v>
      </c>
      <c r="I11" s="299">
        <f t="shared" si="0"/>
        <v>0</v>
      </c>
      <c r="J11" s="299">
        <f t="shared" si="0"/>
        <v>0</v>
      </c>
    </row>
    <row r="12" spans="1:22" x14ac:dyDescent="0.2">
      <c r="A12" s="297">
        <v>3</v>
      </c>
      <c r="B12" s="297">
        <v>3</v>
      </c>
      <c r="C12" s="297">
        <v>0</v>
      </c>
      <c r="D12" s="297">
        <v>0</v>
      </c>
      <c r="E12" s="297">
        <v>0</v>
      </c>
      <c r="F12" s="297">
        <v>0</v>
      </c>
      <c r="G12" s="299">
        <f t="shared" si="1"/>
        <v>0</v>
      </c>
      <c r="H12" s="299">
        <f t="shared" si="0"/>
        <v>0</v>
      </c>
      <c r="I12" s="299">
        <f t="shared" si="0"/>
        <v>0</v>
      </c>
      <c r="J12" s="299">
        <f t="shared" si="0"/>
        <v>0</v>
      </c>
    </row>
    <row r="13" spans="1:22" x14ac:dyDescent="0.2">
      <c r="A13" s="297">
        <v>4</v>
      </c>
      <c r="B13" s="297">
        <v>4</v>
      </c>
      <c r="C13" s="297">
        <v>0</v>
      </c>
      <c r="D13" s="297">
        <v>0</v>
      </c>
      <c r="E13" s="297">
        <v>0</v>
      </c>
      <c r="F13" s="297">
        <v>0</v>
      </c>
      <c r="G13" s="299">
        <f t="shared" si="1"/>
        <v>0</v>
      </c>
      <c r="H13" s="299">
        <f t="shared" si="0"/>
        <v>0</v>
      </c>
      <c r="I13" s="299">
        <f t="shared" si="0"/>
        <v>0</v>
      </c>
      <c r="J13" s="299">
        <f t="shared" si="0"/>
        <v>0</v>
      </c>
    </row>
    <row r="14" spans="1:22" x14ac:dyDescent="0.2">
      <c r="A14" s="297">
        <v>5</v>
      </c>
      <c r="B14" s="297">
        <v>5</v>
      </c>
      <c r="C14" s="297">
        <v>0</v>
      </c>
      <c r="D14" s="297">
        <v>0</v>
      </c>
      <c r="E14" s="297">
        <v>0</v>
      </c>
      <c r="F14" s="297">
        <v>0</v>
      </c>
      <c r="G14" s="299">
        <f t="shared" si="1"/>
        <v>0</v>
      </c>
      <c r="H14" s="299">
        <f t="shared" si="0"/>
        <v>0</v>
      </c>
      <c r="I14" s="299">
        <f t="shared" si="0"/>
        <v>0</v>
      </c>
      <c r="J14" s="299">
        <f t="shared" si="0"/>
        <v>0</v>
      </c>
    </row>
    <row r="15" spans="1:22" x14ac:dyDescent="0.2">
      <c r="A15" s="297">
        <v>6</v>
      </c>
      <c r="B15" s="297">
        <v>6</v>
      </c>
      <c r="C15" s="297">
        <v>0</v>
      </c>
      <c r="D15" s="297">
        <v>0</v>
      </c>
      <c r="E15" s="297">
        <v>0</v>
      </c>
      <c r="F15" s="297">
        <v>0</v>
      </c>
      <c r="G15" s="299">
        <f t="shared" si="1"/>
        <v>0</v>
      </c>
      <c r="H15" s="299">
        <f t="shared" si="0"/>
        <v>0</v>
      </c>
      <c r="I15" s="299">
        <f t="shared" si="0"/>
        <v>0</v>
      </c>
      <c r="J15" s="299">
        <f t="shared" si="0"/>
        <v>0</v>
      </c>
    </row>
    <row r="16" spans="1:22" x14ac:dyDescent="0.2">
      <c r="A16" s="297">
        <v>7</v>
      </c>
      <c r="B16" s="297">
        <v>7</v>
      </c>
      <c r="C16" s="297">
        <v>0</v>
      </c>
      <c r="D16" s="297">
        <v>0</v>
      </c>
      <c r="E16" s="297">
        <v>0</v>
      </c>
      <c r="F16" s="297">
        <v>0</v>
      </c>
      <c r="G16" s="299">
        <f t="shared" si="1"/>
        <v>0</v>
      </c>
      <c r="H16" s="299">
        <f t="shared" si="0"/>
        <v>0</v>
      </c>
      <c r="I16" s="299">
        <f t="shared" si="0"/>
        <v>0</v>
      </c>
      <c r="J16" s="299">
        <f t="shared" si="0"/>
        <v>0</v>
      </c>
    </row>
    <row r="17" spans="1:10" x14ac:dyDescent="0.2">
      <c r="A17" s="297">
        <v>8</v>
      </c>
      <c r="B17" s="297">
        <v>8</v>
      </c>
      <c r="C17" s="297">
        <v>0</v>
      </c>
      <c r="D17" s="297">
        <v>0</v>
      </c>
      <c r="E17" s="297">
        <v>0</v>
      </c>
      <c r="F17" s="297">
        <v>0</v>
      </c>
      <c r="G17" s="299">
        <f t="shared" si="1"/>
        <v>0</v>
      </c>
      <c r="H17" s="299">
        <f t="shared" si="0"/>
        <v>0</v>
      </c>
      <c r="I17" s="299">
        <f t="shared" si="0"/>
        <v>0</v>
      </c>
      <c r="J17" s="299">
        <f t="shared" si="0"/>
        <v>0</v>
      </c>
    </row>
    <row r="18" spans="1:10" x14ac:dyDescent="0.2">
      <c r="A18" s="297">
        <v>9</v>
      </c>
      <c r="B18" s="297">
        <v>9</v>
      </c>
      <c r="C18" s="297">
        <v>0</v>
      </c>
      <c r="D18" s="297">
        <v>0</v>
      </c>
      <c r="E18" s="297">
        <v>0</v>
      </c>
      <c r="F18" s="297">
        <v>0</v>
      </c>
      <c r="G18" s="299">
        <f t="shared" si="1"/>
        <v>0</v>
      </c>
      <c r="H18" s="299">
        <f t="shared" si="0"/>
        <v>0</v>
      </c>
      <c r="I18" s="299">
        <f t="shared" si="0"/>
        <v>0</v>
      </c>
      <c r="J18" s="299">
        <f t="shared" si="0"/>
        <v>0</v>
      </c>
    </row>
    <row r="19" spans="1:10" x14ac:dyDescent="0.2">
      <c r="A19" s="297">
        <v>10</v>
      </c>
      <c r="B19" s="297">
        <v>10</v>
      </c>
      <c r="C19" s="297">
        <v>0</v>
      </c>
      <c r="D19" s="297">
        <v>0</v>
      </c>
      <c r="E19" s="297">
        <v>0</v>
      </c>
      <c r="F19" s="297">
        <v>0</v>
      </c>
      <c r="G19" s="299">
        <f t="shared" si="1"/>
        <v>0</v>
      </c>
      <c r="H19" s="299">
        <f t="shared" si="0"/>
        <v>0</v>
      </c>
      <c r="I19" s="299">
        <f t="shared" si="0"/>
        <v>0</v>
      </c>
      <c r="J19" s="299">
        <f t="shared" si="0"/>
        <v>0</v>
      </c>
    </row>
    <row r="20" spans="1:10" x14ac:dyDescent="0.2">
      <c r="A20" s="297">
        <v>11</v>
      </c>
      <c r="B20" s="297">
        <v>11</v>
      </c>
      <c r="C20" s="297">
        <v>0</v>
      </c>
      <c r="D20" s="297">
        <v>0</v>
      </c>
      <c r="E20" s="297">
        <v>0</v>
      </c>
      <c r="F20" s="297">
        <v>0</v>
      </c>
      <c r="G20" s="299">
        <f t="shared" si="1"/>
        <v>0</v>
      </c>
      <c r="H20" s="299">
        <f t="shared" si="0"/>
        <v>0</v>
      </c>
      <c r="I20" s="299">
        <f t="shared" si="0"/>
        <v>0</v>
      </c>
      <c r="J20" s="299">
        <f t="shared" si="0"/>
        <v>0</v>
      </c>
    </row>
    <row r="21" spans="1:10" x14ac:dyDescent="0.2">
      <c r="A21" s="297">
        <v>12</v>
      </c>
      <c r="B21" s="297">
        <v>12</v>
      </c>
      <c r="C21" s="297">
        <v>0</v>
      </c>
      <c r="D21" s="297">
        <v>0</v>
      </c>
      <c r="E21" s="297">
        <v>0</v>
      </c>
      <c r="F21" s="297">
        <v>0</v>
      </c>
      <c r="G21" s="299">
        <f t="shared" si="1"/>
        <v>0</v>
      </c>
      <c r="H21" s="299">
        <f t="shared" si="0"/>
        <v>0</v>
      </c>
      <c r="I21" s="299">
        <f t="shared" si="0"/>
        <v>0</v>
      </c>
      <c r="J21" s="299">
        <f t="shared" si="0"/>
        <v>0</v>
      </c>
    </row>
    <row r="22" spans="1:10" x14ac:dyDescent="0.2">
      <c r="A22" s="297">
        <v>13</v>
      </c>
      <c r="B22" s="297">
        <v>13</v>
      </c>
      <c r="C22" s="297">
        <v>0</v>
      </c>
      <c r="D22" s="297">
        <v>0</v>
      </c>
      <c r="E22" s="297">
        <v>0</v>
      </c>
      <c r="F22" s="297">
        <v>0</v>
      </c>
      <c r="G22" s="299">
        <f t="shared" si="1"/>
        <v>0</v>
      </c>
      <c r="H22" s="299">
        <f t="shared" si="0"/>
        <v>0</v>
      </c>
      <c r="I22" s="299">
        <f t="shared" si="0"/>
        <v>0</v>
      </c>
      <c r="J22" s="299">
        <f t="shared" si="0"/>
        <v>0</v>
      </c>
    </row>
    <row r="23" spans="1:10" x14ac:dyDescent="0.2">
      <c r="A23" s="297">
        <v>14</v>
      </c>
      <c r="B23" s="297">
        <v>14</v>
      </c>
      <c r="C23" s="297">
        <v>0</v>
      </c>
      <c r="D23" s="297">
        <v>0</v>
      </c>
      <c r="E23" s="297">
        <v>0</v>
      </c>
      <c r="F23" s="297">
        <v>0</v>
      </c>
      <c r="G23" s="299">
        <f t="shared" si="1"/>
        <v>0</v>
      </c>
      <c r="H23" s="299">
        <f t="shared" si="0"/>
        <v>0</v>
      </c>
      <c r="I23" s="299">
        <f t="shared" si="0"/>
        <v>0</v>
      </c>
      <c r="J23" s="299">
        <f t="shared" si="0"/>
        <v>0</v>
      </c>
    </row>
    <row r="24" spans="1:10" x14ac:dyDescent="0.2">
      <c r="A24" s="297">
        <v>15</v>
      </c>
      <c r="B24" s="297">
        <v>15</v>
      </c>
      <c r="C24" s="297">
        <v>0</v>
      </c>
      <c r="D24" s="297">
        <v>0</v>
      </c>
      <c r="E24" s="297">
        <v>0</v>
      </c>
      <c r="F24" s="297">
        <v>0</v>
      </c>
      <c r="G24" s="299">
        <f t="shared" si="1"/>
        <v>0</v>
      </c>
      <c r="H24" s="299">
        <f t="shared" si="0"/>
        <v>0</v>
      </c>
      <c r="I24" s="299">
        <f t="shared" si="0"/>
        <v>0</v>
      </c>
      <c r="J24" s="299">
        <f t="shared" si="0"/>
        <v>0</v>
      </c>
    </row>
    <row r="25" spans="1:10" x14ac:dyDescent="0.2">
      <c r="A25" s="297">
        <v>16</v>
      </c>
      <c r="B25" s="297">
        <v>16</v>
      </c>
      <c r="C25" s="297">
        <v>0</v>
      </c>
      <c r="D25" s="297">
        <v>0</v>
      </c>
      <c r="E25" s="297">
        <v>0</v>
      </c>
      <c r="F25" s="297">
        <v>0</v>
      </c>
      <c r="G25" s="299">
        <f t="shared" si="1"/>
        <v>0</v>
      </c>
      <c r="H25" s="299">
        <f t="shared" si="0"/>
        <v>0</v>
      </c>
      <c r="I25" s="299">
        <f t="shared" si="0"/>
        <v>0</v>
      </c>
      <c r="J25" s="299">
        <f t="shared" si="0"/>
        <v>0</v>
      </c>
    </row>
    <row r="26" spans="1:10" x14ac:dyDescent="0.2">
      <c r="A26" s="297">
        <v>17</v>
      </c>
      <c r="B26" s="297">
        <v>17</v>
      </c>
      <c r="C26" s="297">
        <v>0</v>
      </c>
      <c r="D26" s="297">
        <v>0</v>
      </c>
      <c r="E26" s="297">
        <v>0</v>
      </c>
      <c r="F26" s="297">
        <v>0</v>
      </c>
      <c r="G26" s="299">
        <f t="shared" si="1"/>
        <v>0</v>
      </c>
      <c r="H26" s="299">
        <f t="shared" ref="H26:H33" si="2">D26*B26*12</f>
        <v>0</v>
      </c>
      <c r="I26" s="299">
        <f t="shared" ref="I26:I33" si="3">E26*C26*12</f>
        <v>0</v>
      </c>
      <c r="J26" s="299">
        <f t="shared" ref="J26:J33" si="4">F26*D26*12</f>
        <v>0</v>
      </c>
    </row>
    <row r="27" spans="1:10" x14ac:dyDescent="0.2">
      <c r="A27" s="297">
        <v>18</v>
      </c>
      <c r="B27" s="297">
        <v>18</v>
      </c>
      <c r="C27" s="297">
        <v>0</v>
      </c>
      <c r="D27" s="297">
        <v>0</v>
      </c>
      <c r="E27" s="297">
        <v>0</v>
      </c>
      <c r="F27" s="297">
        <v>0</v>
      </c>
      <c r="G27" s="299">
        <f t="shared" si="1"/>
        <v>0</v>
      </c>
      <c r="H27" s="299">
        <f t="shared" si="2"/>
        <v>0</v>
      </c>
      <c r="I27" s="299">
        <f t="shared" si="3"/>
        <v>0</v>
      </c>
      <c r="J27" s="299">
        <f t="shared" si="4"/>
        <v>0</v>
      </c>
    </row>
    <row r="28" spans="1:10" x14ac:dyDescent="0.2">
      <c r="A28" s="297">
        <v>19</v>
      </c>
      <c r="B28" s="297">
        <v>19</v>
      </c>
      <c r="C28" s="297">
        <v>0</v>
      </c>
      <c r="D28" s="297">
        <v>0</v>
      </c>
      <c r="E28" s="297">
        <v>0</v>
      </c>
      <c r="F28" s="297">
        <v>0</v>
      </c>
      <c r="G28" s="299">
        <f t="shared" si="1"/>
        <v>0</v>
      </c>
      <c r="H28" s="299">
        <f t="shared" si="2"/>
        <v>0</v>
      </c>
      <c r="I28" s="299">
        <f t="shared" si="3"/>
        <v>0</v>
      </c>
      <c r="J28" s="299">
        <f t="shared" si="4"/>
        <v>0</v>
      </c>
    </row>
    <row r="29" spans="1:10" x14ac:dyDescent="0.2">
      <c r="A29" s="297">
        <v>20</v>
      </c>
      <c r="B29" s="297">
        <v>20</v>
      </c>
      <c r="C29" s="297">
        <v>0</v>
      </c>
      <c r="D29" s="297">
        <v>0</v>
      </c>
      <c r="E29" s="297">
        <v>0</v>
      </c>
      <c r="F29" s="297">
        <v>0</v>
      </c>
      <c r="G29" s="299">
        <f t="shared" si="1"/>
        <v>0</v>
      </c>
      <c r="H29" s="299">
        <f t="shared" si="2"/>
        <v>0</v>
      </c>
      <c r="I29" s="299">
        <f t="shared" si="3"/>
        <v>0</v>
      </c>
      <c r="J29" s="299">
        <f t="shared" si="4"/>
        <v>0</v>
      </c>
    </row>
    <row r="30" spans="1:10" x14ac:dyDescent="0.2">
      <c r="A30" s="297">
        <v>21</v>
      </c>
      <c r="B30" s="297">
        <v>21</v>
      </c>
      <c r="C30" s="297">
        <v>0</v>
      </c>
      <c r="D30" s="297">
        <v>0</v>
      </c>
      <c r="E30" s="297">
        <v>0</v>
      </c>
      <c r="F30" s="297">
        <v>0</v>
      </c>
      <c r="G30" s="299">
        <f t="shared" si="1"/>
        <v>0</v>
      </c>
      <c r="H30" s="299">
        <f t="shared" si="2"/>
        <v>0</v>
      </c>
      <c r="I30" s="299">
        <f t="shared" si="3"/>
        <v>0</v>
      </c>
      <c r="J30" s="299">
        <f t="shared" si="4"/>
        <v>0</v>
      </c>
    </row>
    <row r="31" spans="1:10" x14ac:dyDescent="0.2">
      <c r="A31" s="297">
        <v>22</v>
      </c>
      <c r="B31" s="297">
        <v>22</v>
      </c>
      <c r="C31" s="297">
        <v>0</v>
      </c>
      <c r="D31" s="297">
        <v>0</v>
      </c>
      <c r="E31" s="297">
        <v>0</v>
      </c>
      <c r="F31" s="297">
        <v>0</v>
      </c>
      <c r="G31" s="299">
        <f t="shared" si="1"/>
        <v>0</v>
      </c>
      <c r="H31" s="299">
        <f t="shared" si="2"/>
        <v>0</v>
      </c>
      <c r="I31" s="299">
        <f t="shared" si="3"/>
        <v>0</v>
      </c>
      <c r="J31" s="299">
        <f t="shared" si="4"/>
        <v>0</v>
      </c>
    </row>
    <row r="32" spans="1:10" x14ac:dyDescent="0.2">
      <c r="A32" s="297">
        <v>23</v>
      </c>
      <c r="B32" s="297">
        <v>23</v>
      </c>
      <c r="C32" s="297">
        <v>0</v>
      </c>
      <c r="D32" s="297">
        <v>0</v>
      </c>
      <c r="E32" s="297">
        <v>0</v>
      </c>
      <c r="F32" s="297">
        <v>0</v>
      </c>
      <c r="G32" s="299">
        <f t="shared" si="1"/>
        <v>0</v>
      </c>
      <c r="H32" s="299">
        <f t="shared" si="2"/>
        <v>0</v>
      </c>
      <c r="I32" s="299">
        <f t="shared" si="3"/>
        <v>0</v>
      </c>
      <c r="J32" s="299">
        <f t="shared" si="4"/>
        <v>0</v>
      </c>
    </row>
    <row r="33" spans="1:10" x14ac:dyDescent="0.2">
      <c r="A33" s="297">
        <v>24</v>
      </c>
      <c r="B33" s="297">
        <v>24</v>
      </c>
      <c r="C33" s="297">
        <v>0</v>
      </c>
      <c r="D33" s="297">
        <v>0</v>
      </c>
      <c r="E33" s="297">
        <v>0</v>
      </c>
      <c r="F33" s="297">
        <v>0</v>
      </c>
      <c r="G33" s="299">
        <f t="shared" si="1"/>
        <v>0</v>
      </c>
      <c r="H33" s="299">
        <f t="shared" si="2"/>
        <v>0</v>
      </c>
      <c r="I33" s="299">
        <f t="shared" si="3"/>
        <v>0</v>
      </c>
      <c r="J33" s="299">
        <f t="shared" si="4"/>
        <v>0</v>
      </c>
    </row>
    <row r="34" spans="1:10" x14ac:dyDescent="0.2">
      <c r="A34" s="297">
        <v>25</v>
      </c>
      <c r="B34" s="297">
        <v>1</v>
      </c>
      <c r="C34" s="297">
        <v>0.62</v>
      </c>
      <c r="D34" s="297">
        <v>0.65720000000000001</v>
      </c>
      <c r="E34" s="297">
        <v>0.66959999999999997</v>
      </c>
      <c r="F34" s="297">
        <v>0.68200000000000005</v>
      </c>
      <c r="G34" s="299">
        <f>C34*$B34*12</f>
        <v>7.4399999999999995</v>
      </c>
      <c r="H34" s="299">
        <f t="shared" ref="H34:J49" si="5">D34*$B34*12</f>
        <v>7.8864000000000001</v>
      </c>
      <c r="I34" s="299">
        <f t="shared" si="5"/>
        <v>8.0351999999999997</v>
      </c>
      <c r="J34" s="299">
        <f t="shared" si="5"/>
        <v>8.1840000000000011</v>
      </c>
    </row>
    <row r="35" spans="1:10" x14ac:dyDescent="0.2">
      <c r="A35" s="297">
        <v>26</v>
      </c>
      <c r="B35" s="297">
        <v>2</v>
      </c>
      <c r="C35" s="297">
        <v>0.62</v>
      </c>
      <c r="D35" s="297">
        <v>0.65720000000000001</v>
      </c>
      <c r="E35" s="297">
        <v>0.66959999999999997</v>
      </c>
      <c r="F35" s="297">
        <v>0.68200000000000005</v>
      </c>
      <c r="G35" s="299">
        <f t="shared" ref="G35:G98" si="6">C35*$B35*12</f>
        <v>14.879999999999999</v>
      </c>
      <c r="H35" s="299">
        <f t="shared" si="5"/>
        <v>15.7728</v>
      </c>
      <c r="I35" s="299">
        <f t="shared" si="5"/>
        <v>16.070399999999999</v>
      </c>
      <c r="J35" s="299">
        <f t="shared" si="5"/>
        <v>16.368000000000002</v>
      </c>
    </row>
    <row r="36" spans="1:10" x14ac:dyDescent="0.2">
      <c r="A36" s="297">
        <v>27</v>
      </c>
      <c r="B36" s="297">
        <v>3</v>
      </c>
      <c r="C36" s="297">
        <v>0.62</v>
      </c>
      <c r="D36" s="297">
        <v>0.65720000000000001</v>
      </c>
      <c r="E36" s="297">
        <v>0.66959999999999997</v>
      </c>
      <c r="F36" s="297">
        <v>0.68200000000000005</v>
      </c>
      <c r="G36" s="299">
        <f t="shared" si="6"/>
        <v>22.32</v>
      </c>
      <c r="H36" s="299">
        <f t="shared" si="5"/>
        <v>23.659199999999998</v>
      </c>
      <c r="I36" s="299">
        <f t="shared" si="5"/>
        <v>24.105599999999999</v>
      </c>
      <c r="J36" s="299">
        <f t="shared" si="5"/>
        <v>24.552000000000003</v>
      </c>
    </row>
    <row r="37" spans="1:10" x14ac:dyDescent="0.2">
      <c r="A37" s="297">
        <v>28</v>
      </c>
      <c r="B37" s="297">
        <v>4</v>
      </c>
      <c r="C37" s="297">
        <v>0.62</v>
      </c>
      <c r="D37" s="297">
        <v>0.65720000000000001</v>
      </c>
      <c r="E37" s="297">
        <v>0.66959999999999997</v>
      </c>
      <c r="F37" s="297">
        <v>0.68200000000000005</v>
      </c>
      <c r="G37" s="299">
        <f t="shared" si="6"/>
        <v>29.759999999999998</v>
      </c>
      <c r="H37" s="299">
        <f t="shared" si="5"/>
        <v>31.5456</v>
      </c>
      <c r="I37" s="299">
        <f t="shared" si="5"/>
        <v>32.140799999999999</v>
      </c>
      <c r="J37" s="299">
        <f t="shared" si="5"/>
        <v>32.736000000000004</v>
      </c>
    </row>
    <row r="38" spans="1:10" x14ac:dyDescent="0.2">
      <c r="A38" s="297">
        <v>29</v>
      </c>
      <c r="B38" s="297">
        <v>5</v>
      </c>
      <c r="C38" s="297">
        <v>0.62</v>
      </c>
      <c r="D38" s="297">
        <v>0.65720000000000001</v>
      </c>
      <c r="E38" s="297">
        <v>0.66959999999999997</v>
      </c>
      <c r="F38" s="297">
        <v>0.68200000000000005</v>
      </c>
      <c r="G38" s="299">
        <f t="shared" si="6"/>
        <v>37.200000000000003</v>
      </c>
      <c r="H38" s="299">
        <f t="shared" si="5"/>
        <v>39.432000000000002</v>
      </c>
      <c r="I38" s="299">
        <f t="shared" si="5"/>
        <v>40.176000000000002</v>
      </c>
      <c r="J38" s="299">
        <f t="shared" si="5"/>
        <v>40.92</v>
      </c>
    </row>
    <row r="39" spans="1:10" x14ac:dyDescent="0.2">
      <c r="A39" s="297">
        <v>30</v>
      </c>
      <c r="B39" s="297">
        <v>6</v>
      </c>
      <c r="C39" s="297">
        <v>0.62</v>
      </c>
      <c r="D39" s="297">
        <v>0.65720000000000001</v>
      </c>
      <c r="E39" s="297">
        <v>0.66959999999999997</v>
      </c>
      <c r="F39" s="297">
        <v>0.68200000000000005</v>
      </c>
      <c r="G39" s="299">
        <f t="shared" si="6"/>
        <v>44.64</v>
      </c>
      <c r="H39" s="299">
        <f t="shared" si="5"/>
        <v>47.318399999999997</v>
      </c>
      <c r="I39" s="299">
        <f t="shared" si="5"/>
        <v>48.211199999999998</v>
      </c>
      <c r="J39" s="299">
        <f t="shared" si="5"/>
        <v>49.104000000000006</v>
      </c>
    </row>
    <row r="40" spans="1:10" x14ac:dyDescent="0.2">
      <c r="A40" s="297">
        <v>31</v>
      </c>
      <c r="B40" s="297">
        <v>7</v>
      </c>
      <c r="C40" s="297">
        <v>0.62</v>
      </c>
      <c r="D40" s="297">
        <v>0.65720000000000001</v>
      </c>
      <c r="E40" s="297">
        <v>0.66959999999999997</v>
      </c>
      <c r="F40" s="297">
        <v>0.68200000000000005</v>
      </c>
      <c r="G40" s="299">
        <f t="shared" si="6"/>
        <v>52.08</v>
      </c>
      <c r="H40" s="299">
        <f t="shared" si="5"/>
        <v>55.204800000000006</v>
      </c>
      <c r="I40" s="299">
        <f t="shared" si="5"/>
        <v>56.246399999999994</v>
      </c>
      <c r="J40" s="299">
        <f t="shared" si="5"/>
        <v>57.287999999999997</v>
      </c>
    </row>
    <row r="41" spans="1:10" x14ac:dyDescent="0.2">
      <c r="A41" s="297">
        <v>32</v>
      </c>
      <c r="B41" s="297">
        <v>8</v>
      </c>
      <c r="C41" s="297">
        <v>0.62</v>
      </c>
      <c r="D41" s="297">
        <v>0.65720000000000001</v>
      </c>
      <c r="E41" s="297">
        <v>0.66959999999999997</v>
      </c>
      <c r="F41" s="297">
        <v>0.68200000000000005</v>
      </c>
      <c r="G41" s="299">
        <f t="shared" si="6"/>
        <v>59.519999999999996</v>
      </c>
      <c r="H41" s="299">
        <f t="shared" si="5"/>
        <v>63.091200000000001</v>
      </c>
      <c r="I41" s="299">
        <f t="shared" si="5"/>
        <v>64.281599999999997</v>
      </c>
      <c r="J41" s="299">
        <f t="shared" si="5"/>
        <v>65.472000000000008</v>
      </c>
    </row>
    <row r="42" spans="1:10" x14ac:dyDescent="0.2">
      <c r="A42" s="297">
        <v>33</v>
      </c>
      <c r="B42" s="297">
        <v>9</v>
      </c>
      <c r="C42" s="297">
        <v>0.62</v>
      </c>
      <c r="D42" s="297">
        <v>0.65720000000000001</v>
      </c>
      <c r="E42" s="297">
        <v>0.66959999999999997</v>
      </c>
      <c r="F42" s="297">
        <v>0.68200000000000005</v>
      </c>
      <c r="G42" s="299">
        <f t="shared" si="6"/>
        <v>66.960000000000008</v>
      </c>
      <c r="H42" s="299">
        <f t="shared" si="5"/>
        <v>70.977599999999995</v>
      </c>
      <c r="I42" s="299">
        <f t="shared" si="5"/>
        <v>72.316800000000001</v>
      </c>
      <c r="J42" s="299">
        <f t="shared" si="5"/>
        <v>73.656000000000006</v>
      </c>
    </row>
    <row r="43" spans="1:10" x14ac:dyDescent="0.2">
      <c r="A43" s="297">
        <v>34</v>
      </c>
      <c r="B43" s="297">
        <v>10</v>
      </c>
      <c r="C43" s="297">
        <v>0.62</v>
      </c>
      <c r="D43" s="297">
        <v>0.65720000000000001</v>
      </c>
      <c r="E43" s="297">
        <v>0.66959999999999997</v>
      </c>
      <c r="F43" s="297">
        <v>0.68200000000000005</v>
      </c>
      <c r="G43" s="299">
        <f t="shared" si="6"/>
        <v>74.400000000000006</v>
      </c>
      <c r="H43" s="299">
        <f t="shared" si="5"/>
        <v>78.864000000000004</v>
      </c>
      <c r="I43" s="299">
        <f t="shared" si="5"/>
        <v>80.352000000000004</v>
      </c>
      <c r="J43" s="299">
        <f t="shared" si="5"/>
        <v>81.84</v>
      </c>
    </row>
    <row r="44" spans="1:10" x14ac:dyDescent="0.2">
      <c r="A44" s="297">
        <v>35</v>
      </c>
      <c r="B44" s="297">
        <v>11</v>
      </c>
      <c r="C44" s="297">
        <v>0.62</v>
      </c>
      <c r="D44" s="297">
        <v>0.65720000000000001</v>
      </c>
      <c r="E44" s="297">
        <v>0.66959999999999997</v>
      </c>
      <c r="F44" s="297">
        <v>0.68200000000000005</v>
      </c>
      <c r="G44" s="299">
        <f t="shared" si="6"/>
        <v>81.84</v>
      </c>
      <c r="H44" s="299">
        <f t="shared" si="5"/>
        <v>86.750400000000013</v>
      </c>
      <c r="I44" s="299">
        <f t="shared" si="5"/>
        <v>88.387199999999993</v>
      </c>
      <c r="J44" s="299">
        <f t="shared" si="5"/>
        <v>90.024000000000001</v>
      </c>
    </row>
    <row r="45" spans="1:10" x14ac:dyDescent="0.2">
      <c r="A45" s="297">
        <v>36</v>
      </c>
      <c r="B45" s="297">
        <v>12</v>
      </c>
      <c r="C45" s="297">
        <v>0.62</v>
      </c>
      <c r="D45" s="297">
        <v>0.65720000000000001</v>
      </c>
      <c r="E45" s="297">
        <v>0.66959999999999997</v>
      </c>
      <c r="F45" s="297">
        <v>0.68200000000000005</v>
      </c>
      <c r="G45" s="299">
        <f t="shared" si="6"/>
        <v>89.28</v>
      </c>
      <c r="H45" s="299">
        <f t="shared" si="5"/>
        <v>94.636799999999994</v>
      </c>
      <c r="I45" s="299">
        <f t="shared" si="5"/>
        <v>96.422399999999996</v>
      </c>
      <c r="J45" s="299">
        <f t="shared" si="5"/>
        <v>98.208000000000013</v>
      </c>
    </row>
    <row r="46" spans="1:10" x14ac:dyDescent="0.2">
      <c r="A46" s="297">
        <v>37</v>
      </c>
      <c r="B46" s="297">
        <v>13</v>
      </c>
      <c r="C46" s="297">
        <v>0.62</v>
      </c>
      <c r="D46" s="297">
        <v>0.65720000000000001</v>
      </c>
      <c r="E46" s="297">
        <v>0.66959999999999997</v>
      </c>
      <c r="F46" s="297">
        <v>0.68200000000000005</v>
      </c>
      <c r="G46" s="299">
        <f t="shared" si="6"/>
        <v>96.72</v>
      </c>
      <c r="H46" s="299">
        <f t="shared" si="5"/>
        <v>102.5232</v>
      </c>
      <c r="I46" s="299">
        <f t="shared" si="5"/>
        <v>104.45759999999999</v>
      </c>
      <c r="J46" s="299">
        <f t="shared" si="5"/>
        <v>106.39200000000002</v>
      </c>
    </row>
    <row r="47" spans="1:10" x14ac:dyDescent="0.2">
      <c r="A47" s="297">
        <v>38</v>
      </c>
      <c r="B47" s="297">
        <v>14</v>
      </c>
      <c r="C47" s="297">
        <v>0.62</v>
      </c>
      <c r="D47" s="297">
        <v>0.65720000000000001</v>
      </c>
      <c r="E47" s="297">
        <v>0.66959999999999997</v>
      </c>
      <c r="F47" s="297">
        <v>0.68200000000000005</v>
      </c>
      <c r="G47" s="299">
        <f t="shared" si="6"/>
        <v>104.16</v>
      </c>
      <c r="H47" s="299">
        <f t="shared" si="5"/>
        <v>110.40960000000001</v>
      </c>
      <c r="I47" s="299">
        <f t="shared" si="5"/>
        <v>112.49279999999999</v>
      </c>
      <c r="J47" s="299">
        <f t="shared" si="5"/>
        <v>114.57599999999999</v>
      </c>
    </row>
    <row r="48" spans="1:10" x14ac:dyDescent="0.2">
      <c r="A48" s="297">
        <v>39</v>
      </c>
      <c r="B48" s="297">
        <v>15</v>
      </c>
      <c r="C48" s="297">
        <v>0.62</v>
      </c>
      <c r="D48" s="297">
        <v>0.65720000000000001</v>
      </c>
      <c r="E48" s="297">
        <v>0.66959999999999997</v>
      </c>
      <c r="F48" s="297">
        <v>0.68200000000000005</v>
      </c>
      <c r="G48" s="299">
        <f t="shared" si="6"/>
        <v>111.60000000000001</v>
      </c>
      <c r="H48" s="299">
        <f t="shared" si="5"/>
        <v>118.29600000000001</v>
      </c>
      <c r="I48" s="299">
        <f t="shared" si="5"/>
        <v>120.52800000000001</v>
      </c>
      <c r="J48" s="299">
        <f t="shared" si="5"/>
        <v>122.76</v>
      </c>
    </row>
    <row r="49" spans="1:10" x14ac:dyDescent="0.2">
      <c r="A49" s="297">
        <v>40</v>
      </c>
      <c r="B49" s="297">
        <v>16</v>
      </c>
      <c r="C49" s="297">
        <v>0.62</v>
      </c>
      <c r="D49" s="297">
        <v>0.65720000000000001</v>
      </c>
      <c r="E49" s="297">
        <v>0.66959999999999997</v>
      </c>
      <c r="F49" s="297">
        <v>0.68200000000000005</v>
      </c>
      <c r="G49" s="299">
        <f t="shared" si="6"/>
        <v>119.03999999999999</v>
      </c>
      <c r="H49" s="299">
        <f t="shared" si="5"/>
        <v>126.1824</v>
      </c>
      <c r="I49" s="299">
        <f t="shared" si="5"/>
        <v>128.56319999999999</v>
      </c>
      <c r="J49" s="299">
        <f t="shared" si="5"/>
        <v>130.94400000000002</v>
      </c>
    </row>
    <row r="50" spans="1:10" x14ac:dyDescent="0.2">
      <c r="A50" s="297">
        <v>41</v>
      </c>
      <c r="B50" s="297">
        <v>17</v>
      </c>
      <c r="C50" s="297">
        <v>0.62</v>
      </c>
      <c r="D50" s="297">
        <v>0.65720000000000001</v>
      </c>
      <c r="E50" s="297">
        <v>0.66959999999999997</v>
      </c>
      <c r="F50" s="297">
        <v>0.68200000000000005</v>
      </c>
      <c r="G50" s="299">
        <f t="shared" si="6"/>
        <v>126.47999999999999</v>
      </c>
      <c r="H50" s="299">
        <f t="shared" ref="H50:H99" si="7">D50*$B50*12</f>
        <v>134.06880000000001</v>
      </c>
      <c r="I50" s="299">
        <f t="shared" ref="I50:I99" si="8">E50*$B50*12</f>
        <v>136.59839999999997</v>
      </c>
      <c r="J50" s="299">
        <f t="shared" ref="J50:J99" si="9">F50*$B50*12</f>
        <v>139.12800000000001</v>
      </c>
    </row>
    <row r="51" spans="1:10" x14ac:dyDescent="0.2">
      <c r="A51" s="297">
        <v>42</v>
      </c>
      <c r="B51" s="297">
        <v>18</v>
      </c>
      <c r="C51" s="297">
        <v>0.62</v>
      </c>
      <c r="D51" s="297">
        <v>0.65720000000000001</v>
      </c>
      <c r="E51" s="297">
        <v>0.66959999999999997</v>
      </c>
      <c r="F51" s="297">
        <v>0.68200000000000005</v>
      </c>
      <c r="G51" s="299">
        <f t="shared" si="6"/>
        <v>133.92000000000002</v>
      </c>
      <c r="H51" s="299">
        <f t="shared" si="7"/>
        <v>141.95519999999999</v>
      </c>
      <c r="I51" s="299">
        <f t="shared" si="8"/>
        <v>144.6336</v>
      </c>
      <c r="J51" s="299">
        <f t="shared" si="9"/>
        <v>147.31200000000001</v>
      </c>
    </row>
    <row r="52" spans="1:10" x14ac:dyDescent="0.2">
      <c r="A52" s="297">
        <v>43</v>
      </c>
      <c r="B52" s="297">
        <v>19</v>
      </c>
      <c r="C52" s="297">
        <v>0.62</v>
      </c>
      <c r="D52" s="297">
        <v>0.65720000000000001</v>
      </c>
      <c r="E52" s="297">
        <v>0.66959999999999997</v>
      </c>
      <c r="F52" s="297">
        <v>0.68200000000000005</v>
      </c>
      <c r="G52" s="299">
        <f t="shared" si="6"/>
        <v>141.35999999999999</v>
      </c>
      <c r="H52" s="299">
        <f t="shared" si="7"/>
        <v>149.8416</v>
      </c>
      <c r="I52" s="299">
        <f t="shared" si="8"/>
        <v>152.6688</v>
      </c>
      <c r="J52" s="299">
        <f t="shared" si="9"/>
        <v>155.49600000000001</v>
      </c>
    </row>
    <row r="53" spans="1:10" x14ac:dyDescent="0.2">
      <c r="A53" s="297">
        <v>44</v>
      </c>
      <c r="B53" s="297">
        <v>20</v>
      </c>
      <c r="C53" s="297">
        <v>0.62</v>
      </c>
      <c r="D53" s="297">
        <v>0.65720000000000001</v>
      </c>
      <c r="E53" s="297">
        <v>0.66959999999999997</v>
      </c>
      <c r="F53" s="297">
        <v>0.68200000000000005</v>
      </c>
      <c r="G53" s="299">
        <f t="shared" si="6"/>
        <v>148.80000000000001</v>
      </c>
      <c r="H53" s="299">
        <f t="shared" si="7"/>
        <v>157.72800000000001</v>
      </c>
      <c r="I53" s="299">
        <f t="shared" si="8"/>
        <v>160.70400000000001</v>
      </c>
      <c r="J53" s="299">
        <f t="shared" si="9"/>
        <v>163.68</v>
      </c>
    </row>
    <row r="54" spans="1:10" x14ac:dyDescent="0.2">
      <c r="A54" s="297">
        <v>45</v>
      </c>
      <c r="B54" s="297">
        <v>21</v>
      </c>
      <c r="C54" s="297">
        <v>0.62</v>
      </c>
      <c r="D54" s="297">
        <v>0.65720000000000001</v>
      </c>
      <c r="E54" s="297">
        <v>0.66959999999999997</v>
      </c>
      <c r="F54" s="297">
        <v>0.68200000000000005</v>
      </c>
      <c r="G54" s="299">
        <f t="shared" si="6"/>
        <v>156.24</v>
      </c>
      <c r="H54" s="299">
        <f t="shared" si="7"/>
        <v>165.61439999999999</v>
      </c>
      <c r="I54" s="299">
        <f t="shared" si="8"/>
        <v>168.73919999999998</v>
      </c>
      <c r="J54" s="299">
        <f t="shared" si="9"/>
        <v>171.864</v>
      </c>
    </row>
    <row r="55" spans="1:10" x14ac:dyDescent="0.2">
      <c r="A55" s="297">
        <v>46</v>
      </c>
      <c r="B55" s="297">
        <v>22</v>
      </c>
      <c r="C55" s="297">
        <v>0.62</v>
      </c>
      <c r="D55" s="297">
        <v>0.65720000000000001</v>
      </c>
      <c r="E55" s="297">
        <v>0.66959999999999997</v>
      </c>
      <c r="F55" s="297">
        <v>0.68200000000000005</v>
      </c>
      <c r="G55" s="299">
        <f t="shared" si="6"/>
        <v>163.68</v>
      </c>
      <c r="H55" s="299">
        <f t="shared" si="7"/>
        <v>173.50080000000003</v>
      </c>
      <c r="I55" s="299">
        <f t="shared" si="8"/>
        <v>176.77439999999999</v>
      </c>
      <c r="J55" s="299">
        <f t="shared" si="9"/>
        <v>180.048</v>
      </c>
    </row>
    <row r="56" spans="1:10" x14ac:dyDescent="0.2">
      <c r="A56" s="297">
        <v>47</v>
      </c>
      <c r="B56" s="297">
        <v>23</v>
      </c>
      <c r="C56" s="297">
        <v>0.62</v>
      </c>
      <c r="D56" s="297">
        <v>0.65720000000000001</v>
      </c>
      <c r="E56" s="297">
        <v>0.66959999999999997</v>
      </c>
      <c r="F56" s="297">
        <v>0.68200000000000005</v>
      </c>
      <c r="G56" s="299">
        <f t="shared" si="6"/>
        <v>171.12</v>
      </c>
      <c r="H56" s="299">
        <f t="shared" si="7"/>
        <v>181.38720000000001</v>
      </c>
      <c r="I56" s="299">
        <f t="shared" si="8"/>
        <v>184.80959999999999</v>
      </c>
      <c r="J56" s="299">
        <f t="shared" si="9"/>
        <v>188.23200000000003</v>
      </c>
    </row>
    <row r="57" spans="1:10" x14ac:dyDescent="0.2">
      <c r="A57" s="297">
        <v>48</v>
      </c>
      <c r="B57" s="297">
        <v>24</v>
      </c>
      <c r="C57" s="297">
        <v>0.62</v>
      </c>
      <c r="D57" s="297">
        <v>0.65720000000000001</v>
      </c>
      <c r="E57" s="297">
        <v>0.66959999999999997</v>
      </c>
      <c r="F57" s="297">
        <v>0.68200000000000005</v>
      </c>
      <c r="G57" s="299">
        <f t="shared" si="6"/>
        <v>178.56</v>
      </c>
      <c r="H57" s="299">
        <f t="shared" si="7"/>
        <v>189.27359999999999</v>
      </c>
      <c r="I57" s="299">
        <f t="shared" si="8"/>
        <v>192.84479999999999</v>
      </c>
      <c r="J57" s="299">
        <f t="shared" si="9"/>
        <v>196.41600000000003</v>
      </c>
    </row>
    <row r="58" spans="1:10" x14ac:dyDescent="0.2">
      <c r="A58" s="297">
        <v>49</v>
      </c>
      <c r="B58" s="297">
        <v>25</v>
      </c>
      <c r="C58" s="297">
        <v>0.62</v>
      </c>
      <c r="D58" s="297">
        <v>0.65720000000000001</v>
      </c>
      <c r="E58" s="297">
        <v>0.66959999999999997</v>
      </c>
      <c r="F58" s="297">
        <v>0.68200000000000005</v>
      </c>
      <c r="G58" s="299">
        <f t="shared" si="6"/>
        <v>186</v>
      </c>
      <c r="H58" s="299">
        <f t="shared" si="7"/>
        <v>197.16</v>
      </c>
      <c r="I58" s="299">
        <f t="shared" si="8"/>
        <v>200.88</v>
      </c>
      <c r="J58" s="299">
        <f t="shared" si="9"/>
        <v>204.60000000000002</v>
      </c>
    </row>
    <row r="59" spans="1:10" x14ac:dyDescent="0.2">
      <c r="A59" s="297">
        <v>50</v>
      </c>
      <c r="B59" s="297">
        <v>26</v>
      </c>
      <c r="C59" s="297">
        <v>0.62</v>
      </c>
      <c r="D59" s="297">
        <v>0.65720000000000001</v>
      </c>
      <c r="E59" s="297">
        <v>0.66959999999999997</v>
      </c>
      <c r="F59" s="297">
        <v>0.68200000000000005</v>
      </c>
      <c r="G59" s="299">
        <f t="shared" si="6"/>
        <v>193.44</v>
      </c>
      <c r="H59" s="299">
        <f t="shared" si="7"/>
        <v>205.04640000000001</v>
      </c>
      <c r="I59" s="299">
        <f t="shared" si="8"/>
        <v>208.91519999999997</v>
      </c>
      <c r="J59" s="299">
        <f t="shared" si="9"/>
        <v>212.78400000000005</v>
      </c>
    </row>
    <row r="60" spans="1:10" x14ac:dyDescent="0.2">
      <c r="A60" s="297">
        <v>51</v>
      </c>
      <c r="B60" s="297">
        <v>27</v>
      </c>
      <c r="C60" s="297">
        <v>0.62</v>
      </c>
      <c r="D60" s="297">
        <v>0.65720000000000001</v>
      </c>
      <c r="E60" s="297">
        <v>0.66959999999999997</v>
      </c>
      <c r="F60" s="297">
        <v>0.68200000000000005</v>
      </c>
      <c r="G60" s="299">
        <f t="shared" si="6"/>
        <v>200.88</v>
      </c>
      <c r="H60" s="299">
        <f t="shared" si="7"/>
        <v>212.93279999999999</v>
      </c>
      <c r="I60" s="299">
        <f t="shared" si="8"/>
        <v>216.9504</v>
      </c>
      <c r="J60" s="299">
        <f t="shared" si="9"/>
        <v>220.96800000000002</v>
      </c>
    </row>
    <row r="61" spans="1:10" x14ac:dyDescent="0.2">
      <c r="A61" s="297">
        <v>52</v>
      </c>
      <c r="B61" s="297">
        <v>28</v>
      </c>
      <c r="C61" s="297">
        <v>0.62</v>
      </c>
      <c r="D61" s="297">
        <v>0.65720000000000001</v>
      </c>
      <c r="E61" s="297">
        <v>0.66959999999999997</v>
      </c>
      <c r="F61" s="297">
        <v>0.68200000000000005</v>
      </c>
      <c r="G61" s="299">
        <f t="shared" si="6"/>
        <v>208.32</v>
      </c>
      <c r="H61" s="299">
        <f t="shared" si="7"/>
        <v>220.81920000000002</v>
      </c>
      <c r="I61" s="299">
        <f t="shared" si="8"/>
        <v>224.98559999999998</v>
      </c>
      <c r="J61" s="299">
        <f t="shared" si="9"/>
        <v>229.15199999999999</v>
      </c>
    </row>
    <row r="62" spans="1:10" x14ac:dyDescent="0.2">
      <c r="A62" s="297">
        <v>53</v>
      </c>
      <c r="B62" s="297">
        <v>29</v>
      </c>
      <c r="C62" s="297">
        <v>0.62</v>
      </c>
      <c r="D62" s="297">
        <v>0.65720000000000001</v>
      </c>
      <c r="E62" s="297">
        <v>0.66959999999999997</v>
      </c>
      <c r="F62" s="297">
        <v>0.68200000000000005</v>
      </c>
      <c r="G62" s="299">
        <f t="shared" si="6"/>
        <v>215.76</v>
      </c>
      <c r="H62" s="299">
        <f t="shared" si="7"/>
        <v>228.7056</v>
      </c>
      <c r="I62" s="299">
        <f t="shared" si="8"/>
        <v>233.02079999999998</v>
      </c>
      <c r="J62" s="299">
        <f t="shared" si="9"/>
        <v>237.33600000000001</v>
      </c>
    </row>
    <row r="63" spans="1:10" x14ac:dyDescent="0.2">
      <c r="A63" s="297">
        <v>54</v>
      </c>
      <c r="B63" s="297">
        <v>30</v>
      </c>
      <c r="C63" s="297">
        <v>0.62</v>
      </c>
      <c r="D63" s="297">
        <v>0.65720000000000001</v>
      </c>
      <c r="E63" s="297">
        <v>0.66959999999999997</v>
      </c>
      <c r="F63" s="297">
        <v>0.68200000000000005</v>
      </c>
      <c r="G63" s="299">
        <f t="shared" si="6"/>
        <v>223.20000000000002</v>
      </c>
      <c r="H63" s="299">
        <f t="shared" si="7"/>
        <v>236.59200000000001</v>
      </c>
      <c r="I63" s="299">
        <f t="shared" si="8"/>
        <v>241.05600000000001</v>
      </c>
      <c r="J63" s="299">
        <f t="shared" si="9"/>
        <v>245.52</v>
      </c>
    </row>
    <row r="64" spans="1:10" x14ac:dyDescent="0.2">
      <c r="A64" s="297">
        <v>55</v>
      </c>
      <c r="B64" s="297">
        <v>31</v>
      </c>
      <c r="C64" s="297">
        <v>0.62</v>
      </c>
      <c r="D64" s="297">
        <v>0.65720000000000001</v>
      </c>
      <c r="E64" s="297">
        <v>0.66959999999999997</v>
      </c>
      <c r="F64" s="297">
        <v>0.68200000000000005</v>
      </c>
      <c r="G64" s="299">
        <f t="shared" si="6"/>
        <v>230.64</v>
      </c>
      <c r="H64" s="299">
        <f t="shared" si="7"/>
        <v>244.47840000000002</v>
      </c>
      <c r="I64" s="299">
        <f t="shared" si="8"/>
        <v>249.09120000000001</v>
      </c>
      <c r="J64" s="299">
        <f t="shared" si="9"/>
        <v>253.70400000000004</v>
      </c>
    </row>
    <row r="65" spans="1:10" x14ac:dyDescent="0.2">
      <c r="A65" s="297">
        <v>56</v>
      </c>
      <c r="B65" s="297">
        <v>32</v>
      </c>
      <c r="C65" s="297">
        <v>0.62</v>
      </c>
      <c r="D65" s="297">
        <v>0.65720000000000001</v>
      </c>
      <c r="E65" s="297">
        <v>0.66959999999999997</v>
      </c>
      <c r="F65" s="297">
        <v>0.68200000000000005</v>
      </c>
      <c r="G65" s="299">
        <f t="shared" si="6"/>
        <v>238.07999999999998</v>
      </c>
      <c r="H65" s="299">
        <f t="shared" si="7"/>
        <v>252.3648</v>
      </c>
      <c r="I65" s="299">
        <f t="shared" si="8"/>
        <v>257.12639999999999</v>
      </c>
      <c r="J65" s="299">
        <f t="shared" si="9"/>
        <v>261.88800000000003</v>
      </c>
    </row>
    <row r="66" spans="1:10" x14ac:dyDescent="0.2">
      <c r="A66" s="297">
        <v>57</v>
      </c>
      <c r="B66" s="297">
        <v>33</v>
      </c>
      <c r="C66" s="297">
        <v>0.62</v>
      </c>
      <c r="D66" s="297">
        <v>0.65720000000000001</v>
      </c>
      <c r="E66" s="297">
        <v>0.66959999999999997</v>
      </c>
      <c r="F66" s="297">
        <v>0.68200000000000005</v>
      </c>
      <c r="G66" s="299">
        <f t="shared" si="6"/>
        <v>245.52</v>
      </c>
      <c r="H66" s="299">
        <f t="shared" si="7"/>
        <v>260.25119999999998</v>
      </c>
      <c r="I66" s="299">
        <f t="shared" si="8"/>
        <v>265.16159999999996</v>
      </c>
      <c r="J66" s="299">
        <f t="shared" si="9"/>
        <v>270.072</v>
      </c>
    </row>
    <row r="67" spans="1:10" x14ac:dyDescent="0.2">
      <c r="A67" s="297">
        <v>58</v>
      </c>
      <c r="B67" s="297">
        <v>34</v>
      </c>
      <c r="C67" s="297">
        <v>0.62</v>
      </c>
      <c r="D67" s="297">
        <v>0.65720000000000001</v>
      </c>
      <c r="E67" s="297">
        <v>0.66959999999999997</v>
      </c>
      <c r="F67" s="297">
        <v>0.68200000000000005</v>
      </c>
      <c r="G67" s="299">
        <f t="shared" si="6"/>
        <v>252.95999999999998</v>
      </c>
      <c r="H67" s="299">
        <f t="shared" si="7"/>
        <v>268.13760000000002</v>
      </c>
      <c r="I67" s="299">
        <f t="shared" si="8"/>
        <v>273.19679999999994</v>
      </c>
      <c r="J67" s="299">
        <f t="shared" si="9"/>
        <v>278.25600000000003</v>
      </c>
    </row>
    <row r="68" spans="1:10" x14ac:dyDescent="0.2">
      <c r="A68" s="297">
        <v>59</v>
      </c>
      <c r="B68" s="297">
        <v>35</v>
      </c>
      <c r="C68" s="297">
        <v>0.62</v>
      </c>
      <c r="D68" s="297">
        <v>0.65720000000000001</v>
      </c>
      <c r="E68" s="297">
        <v>0.66959999999999997</v>
      </c>
      <c r="F68" s="297">
        <v>0.68200000000000005</v>
      </c>
      <c r="G68" s="299">
        <f t="shared" si="6"/>
        <v>260.39999999999998</v>
      </c>
      <c r="H68" s="299">
        <f t="shared" si="7"/>
        <v>276.024</v>
      </c>
      <c r="I68" s="299">
        <f t="shared" si="8"/>
        <v>281.23199999999997</v>
      </c>
      <c r="J68" s="299">
        <f t="shared" si="9"/>
        <v>286.44</v>
      </c>
    </row>
    <row r="69" spans="1:10" x14ac:dyDescent="0.2">
      <c r="A69" s="297">
        <v>60</v>
      </c>
      <c r="B69" s="297">
        <v>36</v>
      </c>
      <c r="C69" s="297">
        <v>0.62</v>
      </c>
      <c r="D69" s="297">
        <v>0.65720000000000001</v>
      </c>
      <c r="E69" s="297">
        <v>0.66959999999999997</v>
      </c>
      <c r="F69" s="297">
        <v>0.68200000000000005</v>
      </c>
      <c r="G69" s="299">
        <f t="shared" si="6"/>
        <v>267.84000000000003</v>
      </c>
      <c r="H69" s="299">
        <f t="shared" si="7"/>
        <v>283.91039999999998</v>
      </c>
      <c r="I69" s="299">
        <f t="shared" si="8"/>
        <v>289.2672</v>
      </c>
      <c r="J69" s="299">
        <f t="shared" si="9"/>
        <v>294.62400000000002</v>
      </c>
    </row>
    <row r="70" spans="1:10" x14ac:dyDescent="0.2">
      <c r="A70" s="297">
        <v>61</v>
      </c>
      <c r="B70" s="297">
        <v>37</v>
      </c>
      <c r="C70" s="297">
        <v>0.62</v>
      </c>
      <c r="D70" s="297">
        <v>0.65720000000000001</v>
      </c>
      <c r="E70" s="297">
        <v>0.66959999999999997</v>
      </c>
      <c r="F70" s="297">
        <v>0.68200000000000005</v>
      </c>
      <c r="G70" s="299">
        <f t="shared" si="6"/>
        <v>275.28000000000003</v>
      </c>
      <c r="H70" s="299">
        <f t="shared" si="7"/>
        <v>291.79680000000002</v>
      </c>
      <c r="I70" s="299">
        <f t="shared" si="8"/>
        <v>297.30239999999998</v>
      </c>
      <c r="J70" s="299">
        <f t="shared" si="9"/>
        <v>302.80799999999999</v>
      </c>
    </row>
    <row r="71" spans="1:10" x14ac:dyDescent="0.2">
      <c r="A71" s="297">
        <v>62</v>
      </c>
      <c r="B71" s="297">
        <v>38</v>
      </c>
      <c r="C71" s="297">
        <v>0.62</v>
      </c>
      <c r="D71" s="297">
        <v>0.65720000000000001</v>
      </c>
      <c r="E71" s="297">
        <v>0.66959999999999997</v>
      </c>
      <c r="F71" s="297">
        <v>0.68200000000000005</v>
      </c>
      <c r="G71" s="299">
        <f t="shared" si="6"/>
        <v>282.71999999999997</v>
      </c>
      <c r="H71" s="299">
        <f t="shared" si="7"/>
        <v>299.6832</v>
      </c>
      <c r="I71" s="299">
        <f t="shared" si="8"/>
        <v>305.33760000000001</v>
      </c>
      <c r="J71" s="299">
        <f t="shared" si="9"/>
        <v>310.99200000000002</v>
      </c>
    </row>
    <row r="72" spans="1:10" x14ac:dyDescent="0.2">
      <c r="A72" s="297">
        <v>63</v>
      </c>
      <c r="B72" s="297">
        <v>39</v>
      </c>
      <c r="C72" s="297">
        <v>0.62</v>
      </c>
      <c r="D72" s="297">
        <v>0.65720000000000001</v>
      </c>
      <c r="E72" s="297">
        <v>0.66959999999999997</v>
      </c>
      <c r="F72" s="297">
        <v>0.68200000000000005</v>
      </c>
      <c r="G72" s="299">
        <f t="shared" si="6"/>
        <v>290.15999999999997</v>
      </c>
      <c r="H72" s="299">
        <f t="shared" si="7"/>
        <v>307.56960000000004</v>
      </c>
      <c r="I72" s="299">
        <f t="shared" si="8"/>
        <v>313.37279999999998</v>
      </c>
      <c r="J72" s="299">
        <f t="shared" si="9"/>
        <v>319.17600000000004</v>
      </c>
    </row>
    <row r="73" spans="1:10" x14ac:dyDescent="0.2">
      <c r="A73" s="297">
        <v>64</v>
      </c>
      <c r="B73" s="297">
        <v>40</v>
      </c>
      <c r="C73" s="297">
        <v>0.62</v>
      </c>
      <c r="D73" s="297">
        <v>0.65720000000000001</v>
      </c>
      <c r="E73" s="297">
        <v>0.66959999999999997</v>
      </c>
      <c r="F73" s="297">
        <v>0.68200000000000005</v>
      </c>
      <c r="G73" s="299">
        <f t="shared" si="6"/>
        <v>297.60000000000002</v>
      </c>
      <c r="H73" s="299">
        <f t="shared" si="7"/>
        <v>315.45600000000002</v>
      </c>
      <c r="I73" s="299">
        <f t="shared" si="8"/>
        <v>321.40800000000002</v>
      </c>
      <c r="J73" s="299">
        <f t="shared" si="9"/>
        <v>327.36</v>
      </c>
    </row>
    <row r="74" spans="1:10" x14ac:dyDescent="0.2">
      <c r="A74" s="297">
        <v>65</v>
      </c>
      <c r="B74" s="297">
        <v>41</v>
      </c>
      <c r="C74" s="297">
        <v>0.62</v>
      </c>
      <c r="D74" s="297">
        <v>0.65720000000000001</v>
      </c>
      <c r="E74" s="297">
        <v>0.66959999999999997</v>
      </c>
      <c r="F74" s="297">
        <v>0.68200000000000005</v>
      </c>
      <c r="G74" s="299">
        <f t="shared" si="6"/>
        <v>305.03999999999996</v>
      </c>
      <c r="H74" s="299">
        <f t="shared" si="7"/>
        <v>323.3424</v>
      </c>
      <c r="I74" s="299">
        <f t="shared" si="8"/>
        <v>329.44319999999999</v>
      </c>
      <c r="J74" s="299">
        <f t="shared" si="9"/>
        <v>335.54400000000004</v>
      </c>
    </row>
    <row r="75" spans="1:10" x14ac:dyDescent="0.2">
      <c r="A75" s="297">
        <v>66</v>
      </c>
      <c r="B75" s="297">
        <v>42</v>
      </c>
      <c r="C75" s="297">
        <v>0.62</v>
      </c>
      <c r="D75" s="297">
        <v>0.65720000000000001</v>
      </c>
      <c r="E75" s="297">
        <v>0.66959999999999997</v>
      </c>
      <c r="F75" s="297">
        <v>0.68200000000000005</v>
      </c>
      <c r="G75" s="299">
        <f t="shared" si="6"/>
        <v>312.48</v>
      </c>
      <c r="H75" s="299">
        <f t="shared" si="7"/>
        <v>331.22879999999998</v>
      </c>
      <c r="I75" s="299">
        <f t="shared" si="8"/>
        <v>337.47839999999997</v>
      </c>
      <c r="J75" s="299">
        <f t="shared" si="9"/>
        <v>343.72800000000001</v>
      </c>
    </row>
    <row r="76" spans="1:10" x14ac:dyDescent="0.2">
      <c r="A76" s="297">
        <v>67</v>
      </c>
      <c r="B76" s="297">
        <v>43</v>
      </c>
      <c r="C76" s="297">
        <v>0.62</v>
      </c>
      <c r="D76" s="297">
        <v>0.65720000000000001</v>
      </c>
      <c r="E76" s="297">
        <v>0.66959999999999997</v>
      </c>
      <c r="F76" s="297">
        <v>0.68200000000000005</v>
      </c>
      <c r="G76" s="299">
        <f t="shared" si="6"/>
        <v>319.92</v>
      </c>
      <c r="H76" s="299">
        <f t="shared" si="7"/>
        <v>339.11519999999996</v>
      </c>
      <c r="I76" s="299">
        <f t="shared" si="8"/>
        <v>345.5136</v>
      </c>
      <c r="J76" s="299">
        <f t="shared" si="9"/>
        <v>351.91200000000003</v>
      </c>
    </row>
    <row r="77" spans="1:10" x14ac:dyDescent="0.2">
      <c r="A77" s="297">
        <v>68</v>
      </c>
      <c r="B77" s="297">
        <v>44</v>
      </c>
      <c r="C77" s="297">
        <v>0.62</v>
      </c>
      <c r="D77" s="297">
        <v>0.65720000000000001</v>
      </c>
      <c r="E77" s="297">
        <v>0.66959999999999997</v>
      </c>
      <c r="F77" s="297">
        <v>0.68200000000000005</v>
      </c>
      <c r="G77" s="299">
        <f t="shared" si="6"/>
        <v>327.36</v>
      </c>
      <c r="H77" s="299">
        <f t="shared" si="7"/>
        <v>347.00160000000005</v>
      </c>
      <c r="I77" s="299">
        <f t="shared" si="8"/>
        <v>353.54879999999997</v>
      </c>
      <c r="J77" s="299">
        <f t="shared" si="9"/>
        <v>360.096</v>
      </c>
    </row>
    <row r="78" spans="1:10" x14ac:dyDescent="0.2">
      <c r="A78" s="297">
        <v>69</v>
      </c>
      <c r="B78" s="297">
        <v>45</v>
      </c>
      <c r="C78" s="297">
        <v>0.62</v>
      </c>
      <c r="D78" s="297">
        <v>0.65720000000000001</v>
      </c>
      <c r="E78" s="297">
        <v>0.66959999999999997</v>
      </c>
      <c r="F78" s="297">
        <v>0.68200000000000005</v>
      </c>
      <c r="G78" s="299">
        <f t="shared" si="6"/>
        <v>334.79999999999995</v>
      </c>
      <c r="H78" s="299">
        <f t="shared" si="7"/>
        <v>354.88800000000003</v>
      </c>
      <c r="I78" s="299">
        <f t="shared" si="8"/>
        <v>361.58399999999995</v>
      </c>
      <c r="J78" s="299">
        <f t="shared" si="9"/>
        <v>368.28000000000003</v>
      </c>
    </row>
    <row r="79" spans="1:10" x14ac:dyDescent="0.2">
      <c r="A79" s="297">
        <v>70</v>
      </c>
      <c r="B79" s="297">
        <v>46</v>
      </c>
      <c r="C79" s="297">
        <v>0.62</v>
      </c>
      <c r="D79" s="297">
        <v>0.65720000000000001</v>
      </c>
      <c r="E79" s="297">
        <v>0.66959999999999997</v>
      </c>
      <c r="F79" s="297">
        <v>0.68200000000000005</v>
      </c>
      <c r="G79" s="299">
        <f t="shared" si="6"/>
        <v>342.24</v>
      </c>
      <c r="H79" s="299">
        <f t="shared" si="7"/>
        <v>362.77440000000001</v>
      </c>
      <c r="I79" s="299">
        <f t="shared" si="8"/>
        <v>369.61919999999998</v>
      </c>
      <c r="J79" s="299">
        <f t="shared" si="9"/>
        <v>376.46400000000006</v>
      </c>
    </row>
    <row r="80" spans="1:10" x14ac:dyDescent="0.2">
      <c r="A80" s="297">
        <v>71</v>
      </c>
      <c r="B80" s="297">
        <v>47</v>
      </c>
      <c r="C80" s="297">
        <v>0.62</v>
      </c>
      <c r="D80" s="297">
        <v>0.65720000000000001</v>
      </c>
      <c r="E80" s="297">
        <v>0.66959999999999997</v>
      </c>
      <c r="F80" s="297">
        <v>0.68200000000000005</v>
      </c>
      <c r="G80" s="299">
        <f t="shared" si="6"/>
        <v>349.68</v>
      </c>
      <c r="H80" s="299">
        <f t="shared" si="7"/>
        <v>370.66079999999999</v>
      </c>
      <c r="I80" s="299">
        <f t="shared" si="8"/>
        <v>377.65440000000001</v>
      </c>
      <c r="J80" s="299">
        <f t="shared" si="9"/>
        <v>384.64800000000002</v>
      </c>
    </row>
    <row r="81" spans="1:10" x14ac:dyDescent="0.2">
      <c r="A81" s="297">
        <v>72</v>
      </c>
      <c r="B81" s="297">
        <v>48</v>
      </c>
      <c r="C81" s="297">
        <v>0.62</v>
      </c>
      <c r="D81" s="297">
        <v>0.65720000000000001</v>
      </c>
      <c r="E81" s="297">
        <v>0.66959999999999997</v>
      </c>
      <c r="F81" s="297">
        <v>0.68200000000000005</v>
      </c>
      <c r="G81" s="299">
        <f t="shared" si="6"/>
        <v>357.12</v>
      </c>
      <c r="H81" s="299">
        <f t="shared" si="7"/>
        <v>378.54719999999998</v>
      </c>
      <c r="I81" s="299">
        <f t="shared" si="8"/>
        <v>385.68959999999998</v>
      </c>
      <c r="J81" s="299">
        <f t="shared" si="9"/>
        <v>392.83200000000005</v>
      </c>
    </row>
    <row r="82" spans="1:10" x14ac:dyDescent="0.2">
      <c r="A82" s="297">
        <v>73</v>
      </c>
      <c r="B82" s="297">
        <v>49</v>
      </c>
      <c r="C82" s="297">
        <v>0.62</v>
      </c>
      <c r="D82" s="297">
        <v>0.65720000000000001</v>
      </c>
      <c r="E82" s="297">
        <v>0.66959999999999997</v>
      </c>
      <c r="F82" s="297">
        <v>0.68200000000000005</v>
      </c>
      <c r="G82" s="299">
        <f t="shared" si="6"/>
        <v>364.56</v>
      </c>
      <c r="H82" s="299">
        <f t="shared" si="7"/>
        <v>386.43360000000007</v>
      </c>
      <c r="I82" s="299">
        <f t="shared" si="8"/>
        <v>393.72480000000002</v>
      </c>
      <c r="J82" s="299">
        <f t="shared" si="9"/>
        <v>401.01599999999996</v>
      </c>
    </row>
    <row r="83" spans="1:10" x14ac:dyDescent="0.2">
      <c r="A83" s="297">
        <v>74</v>
      </c>
      <c r="B83" s="297">
        <v>50</v>
      </c>
      <c r="C83" s="297">
        <v>0.62</v>
      </c>
      <c r="D83" s="297">
        <v>0.65720000000000001</v>
      </c>
      <c r="E83" s="297">
        <v>0.66959999999999997</v>
      </c>
      <c r="F83" s="297">
        <v>0.68200000000000005</v>
      </c>
      <c r="G83" s="299">
        <f t="shared" si="6"/>
        <v>372</v>
      </c>
      <c r="H83" s="299">
        <f t="shared" si="7"/>
        <v>394.32</v>
      </c>
      <c r="I83" s="299">
        <f t="shared" si="8"/>
        <v>401.76</v>
      </c>
      <c r="J83" s="299">
        <f t="shared" si="9"/>
        <v>409.20000000000005</v>
      </c>
    </row>
    <row r="84" spans="1:10" x14ac:dyDescent="0.2">
      <c r="A84" s="297">
        <v>75</v>
      </c>
      <c r="B84" s="297">
        <v>51</v>
      </c>
      <c r="C84" s="297">
        <v>0.62</v>
      </c>
      <c r="D84" s="297">
        <v>0.65720000000000001</v>
      </c>
      <c r="E84" s="297">
        <v>0.66959999999999997</v>
      </c>
      <c r="F84" s="297">
        <v>0.68200000000000005</v>
      </c>
      <c r="G84" s="299">
        <f t="shared" si="6"/>
        <v>379.44</v>
      </c>
      <c r="H84" s="299">
        <f t="shared" si="7"/>
        <v>402.20640000000003</v>
      </c>
      <c r="I84" s="299">
        <f t="shared" si="8"/>
        <v>409.79520000000002</v>
      </c>
      <c r="J84" s="299">
        <f t="shared" si="9"/>
        <v>417.38400000000001</v>
      </c>
    </row>
    <row r="85" spans="1:10" x14ac:dyDescent="0.2">
      <c r="A85" s="297">
        <v>76</v>
      </c>
      <c r="B85" s="297">
        <v>52</v>
      </c>
      <c r="C85" s="297">
        <v>0.62</v>
      </c>
      <c r="D85" s="297">
        <v>0.65720000000000001</v>
      </c>
      <c r="E85" s="297">
        <v>0.66959999999999997</v>
      </c>
      <c r="F85" s="297">
        <v>0.68200000000000005</v>
      </c>
      <c r="G85" s="299">
        <f t="shared" si="6"/>
        <v>386.88</v>
      </c>
      <c r="H85" s="299">
        <f t="shared" si="7"/>
        <v>410.09280000000001</v>
      </c>
      <c r="I85" s="299">
        <f t="shared" si="8"/>
        <v>417.83039999999994</v>
      </c>
      <c r="J85" s="299">
        <f t="shared" si="9"/>
        <v>425.5680000000001</v>
      </c>
    </row>
    <row r="86" spans="1:10" x14ac:dyDescent="0.2">
      <c r="A86" s="297">
        <v>77</v>
      </c>
      <c r="B86" s="297">
        <v>53</v>
      </c>
      <c r="C86" s="297">
        <v>0.62</v>
      </c>
      <c r="D86" s="297">
        <v>0.65720000000000001</v>
      </c>
      <c r="E86" s="297">
        <v>0.66959999999999997</v>
      </c>
      <c r="F86" s="297">
        <v>0.68200000000000005</v>
      </c>
      <c r="G86" s="299">
        <f t="shared" si="6"/>
        <v>394.32</v>
      </c>
      <c r="H86" s="299">
        <f t="shared" si="7"/>
        <v>417.97919999999999</v>
      </c>
      <c r="I86" s="299">
        <f t="shared" si="8"/>
        <v>425.86559999999997</v>
      </c>
      <c r="J86" s="299">
        <f t="shared" si="9"/>
        <v>433.75200000000001</v>
      </c>
    </row>
    <row r="87" spans="1:10" x14ac:dyDescent="0.2">
      <c r="A87" s="297">
        <v>78</v>
      </c>
      <c r="B87" s="297">
        <v>54</v>
      </c>
      <c r="C87" s="297">
        <v>0.62</v>
      </c>
      <c r="D87" s="297">
        <v>0.65720000000000001</v>
      </c>
      <c r="E87" s="297">
        <v>0.66959999999999997</v>
      </c>
      <c r="F87" s="297">
        <v>0.68200000000000005</v>
      </c>
      <c r="G87" s="299">
        <f t="shared" si="6"/>
        <v>401.76</v>
      </c>
      <c r="H87" s="299">
        <f t="shared" si="7"/>
        <v>425.86559999999997</v>
      </c>
      <c r="I87" s="299">
        <f t="shared" si="8"/>
        <v>433.9008</v>
      </c>
      <c r="J87" s="299">
        <f t="shared" si="9"/>
        <v>441.93600000000004</v>
      </c>
    </row>
    <row r="88" spans="1:10" x14ac:dyDescent="0.2">
      <c r="A88" s="297">
        <v>79</v>
      </c>
      <c r="B88" s="297">
        <v>55</v>
      </c>
      <c r="C88" s="297">
        <v>0.62</v>
      </c>
      <c r="D88" s="297">
        <v>0.65720000000000001</v>
      </c>
      <c r="E88" s="297">
        <v>0.66959999999999997</v>
      </c>
      <c r="F88" s="297">
        <v>0.68200000000000005</v>
      </c>
      <c r="G88" s="299">
        <f t="shared" si="6"/>
        <v>409.20000000000005</v>
      </c>
      <c r="H88" s="299">
        <f t="shared" si="7"/>
        <v>433.75200000000001</v>
      </c>
      <c r="I88" s="299">
        <f t="shared" si="8"/>
        <v>441.93599999999992</v>
      </c>
      <c r="J88" s="299">
        <f t="shared" si="9"/>
        <v>450.12000000000006</v>
      </c>
    </row>
    <row r="89" spans="1:10" x14ac:dyDescent="0.2">
      <c r="A89" s="297">
        <v>80</v>
      </c>
      <c r="B89" s="297">
        <v>56</v>
      </c>
      <c r="C89" s="297">
        <v>0.62</v>
      </c>
      <c r="D89" s="297">
        <v>0.65720000000000001</v>
      </c>
      <c r="E89" s="297">
        <v>0.66959999999999997</v>
      </c>
      <c r="F89" s="297">
        <v>0.68200000000000005</v>
      </c>
      <c r="G89" s="299">
        <f t="shared" si="6"/>
        <v>416.64</v>
      </c>
      <c r="H89" s="299">
        <f t="shared" si="7"/>
        <v>441.63840000000005</v>
      </c>
      <c r="I89" s="299">
        <f t="shared" si="8"/>
        <v>449.97119999999995</v>
      </c>
      <c r="J89" s="299">
        <f t="shared" si="9"/>
        <v>458.30399999999997</v>
      </c>
    </row>
    <row r="90" spans="1:10" x14ac:dyDescent="0.2">
      <c r="A90" s="297">
        <v>81</v>
      </c>
      <c r="B90" s="297">
        <v>57</v>
      </c>
      <c r="C90" s="297">
        <v>0.62</v>
      </c>
      <c r="D90" s="297">
        <v>0.65720000000000001</v>
      </c>
      <c r="E90" s="297">
        <v>0.66959999999999997</v>
      </c>
      <c r="F90" s="297">
        <v>0.68200000000000005</v>
      </c>
      <c r="G90" s="299">
        <f t="shared" si="6"/>
        <v>424.07999999999993</v>
      </c>
      <c r="H90" s="299">
        <f t="shared" si="7"/>
        <v>449.52480000000003</v>
      </c>
      <c r="I90" s="299">
        <f t="shared" si="8"/>
        <v>458.00639999999999</v>
      </c>
      <c r="J90" s="299">
        <f t="shared" si="9"/>
        <v>466.48800000000006</v>
      </c>
    </row>
    <row r="91" spans="1:10" x14ac:dyDescent="0.2">
      <c r="A91" s="297">
        <v>82</v>
      </c>
      <c r="B91" s="297">
        <v>58</v>
      </c>
      <c r="C91" s="297">
        <v>0.62</v>
      </c>
      <c r="D91" s="297">
        <v>0.65720000000000001</v>
      </c>
      <c r="E91" s="297">
        <v>0.66959999999999997</v>
      </c>
      <c r="F91" s="297">
        <v>0.68200000000000005</v>
      </c>
      <c r="G91" s="299">
        <f t="shared" si="6"/>
        <v>431.52</v>
      </c>
      <c r="H91" s="299">
        <f t="shared" si="7"/>
        <v>457.41120000000001</v>
      </c>
      <c r="I91" s="299">
        <f t="shared" si="8"/>
        <v>466.04159999999996</v>
      </c>
      <c r="J91" s="299">
        <f t="shared" si="9"/>
        <v>474.67200000000003</v>
      </c>
    </row>
    <row r="92" spans="1:10" x14ac:dyDescent="0.2">
      <c r="A92" s="297">
        <v>83</v>
      </c>
      <c r="B92" s="297">
        <v>59</v>
      </c>
      <c r="C92" s="297">
        <v>0.62</v>
      </c>
      <c r="D92" s="297">
        <v>0.65720000000000001</v>
      </c>
      <c r="E92" s="297">
        <v>0.66959999999999997</v>
      </c>
      <c r="F92" s="297">
        <v>0.68200000000000005</v>
      </c>
      <c r="G92" s="299">
        <f t="shared" si="6"/>
        <v>438.96</v>
      </c>
      <c r="H92" s="299">
        <f t="shared" si="7"/>
        <v>465.29759999999999</v>
      </c>
      <c r="I92" s="299">
        <f t="shared" si="8"/>
        <v>474.07679999999999</v>
      </c>
      <c r="J92" s="299">
        <f t="shared" si="9"/>
        <v>482.85599999999999</v>
      </c>
    </row>
    <row r="93" spans="1:10" x14ac:dyDescent="0.2">
      <c r="A93" s="297">
        <v>84</v>
      </c>
      <c r="B93" s="297">
        <v>60</v>
      </c>
      <c r="C93" s="297">
        <v>0.62</v>
      </c>
      <c r="D93" s="297">
        <v>0.65720000000000001</v>
      </c>
      <c r="E93" s="297">
        <v>0.66959999999999997</v>
      </c>
      <c r="F93" s="297">
        <v>0.68200000000000005</v>
      </c>
      <c r="G93" s="299">
        <f t="shared" si="6"/>
        <v>446.40000000000003</v>
      </c>
      <c r="H93" s="299">
        <f t="shared" si="7"/>
        <v>473.18400000000003</v>
      </c>
      <c r="I93" s="299">
        <f t="shared" si="8"/>
        <v>482.11200000000002</v>
      </c>
      <c r="J93" s="299">
        <f t="shared" si="9"/>
        <v>491.04</v>
      </c>
    </row>
    <row r="94" spans="1:10" x14ac:dyDescent="0.2">
      <c r="A94" s="297">
        <v>85</v>
      </c>
      <c r="B94" s="297">
        <v>61</v>
      </c>
      <c r="C94" s="297">
        <v>0.62</v>
      </c>
      <c r="D94" s="297">
        <v>0.65720000000000001</v>
      </c>
      <c r="E94" s="297">
        <v>0.66959999999999997</v>
      </c>
      <c r="F94" s="297">
        <v>0.68200000000000005</v>
      </c>
      <c r="G94" s="299">
        <f t="shared" si="6"/>
        <v>453.84000000000003</v>
      </c>
      <c r="H94" s="299">
        <f t="shared" si="7"/>
        <v>481.07039999999995</v>
      </c>
      <c r="I94" s="299">
        <f t="shared" si="8"/>
        <v>490.1472</v>
      </c>
      <c r="J94" s="299">
        <f t="shared" si="9"/>
        <v>499.22400000000005</v>
      </c>
    </row>
    <row r="95" spans="1:10" x14ac:dyDescent="0.2">
      <c r="A95" s="297">
        <v>86</v>
      </c>
      <c r="B95" s="297">
        <v>62</v>
      </c>
      <c r="C95" s="297">
        <v>0.62</v>
      </c>
      <c r="D95" s="297">
        <v>0.65720000000000001</v>
      </c>
      <c r="E95" s="297">
        <v>0.66959999999999997</v>
      </c>
      <c r="F95" s="297">
        <v>0.68200000000000005</v>
      </c>
      <c r="G95" s="299">
        <f t="shared" si="6"/>
        <v>461.28</v>
      </c>
      <c r="H95" s="299">
        <f t="shared" si="7"/>
        <v>488.95680000000004</v>
      </c>
      <c r="I95" s="299">
        <f t="shared" si="8"/>
        <v>498.18240000000003</v>
      </c>
      <c r="J95" s="299">
        <f t="shared" si="9"/>
        <v>507.40800000000007</v>
      </c>
    </row>
    <row r="96" spans="1:10" x14ac:dyDescent="0.2">
      <c r="A96" s="297">
        <v>87</v>
      </c>
      <c r="B96" s="297">
        <v>63</v>
      </c>
      <c r="C96" s="297">
        <v>0.62</v>
      </c>
      <c r="D96" s="297">
        <v>0.65720000000000001</v>
      </c>
      <c r="E96" s="297">
        <v>0.66959999999999997</v>
      </c>
      <c r="F96" s="297">
        <v>0.68200000000000005</v>
      </c>
      <c r="G96" s="299">
        <f t="shared" si="6"/>
        <v>468.72</v>
      </c>
      <c r="H96" s="299">
        <f t="shared" si="7"/>
        <v>496.84319999999997</v>
      </c>
      <c r="I96" s="299">
        <f t="shared" si="8"/>
        <v>506.21759999999995</v>
      </c>
      <c r="J96" s="299">
        <f t="shared" si="9"/>
        <v>515.59199999999998</v>
      </c>
    </row>
    <row r="97" spans="1:10" x14ac:dyDescent="0.2">
      <c r="A97" s="297">
        <v>88</v>
      </c>
      <c r="B97" s="297">
        <v>64</v>
      </c>
      <c r="C97" s="297">
        <v>0.62</v>
      </c>
      <c r="D97" s="297">
        <v>0.65720000000000001</v>
      </c>
      <c r="E97" s="297">
        <v>0.66959999999999997</v>
      </c>
      <c r="F97" s="297">
        <v>0.68200000000000005</v>
      </c>
      <c r="G97" s="299">
        <f t="shared" si="6"/>
        <v>476.15999999999997</v>
      </c>
      <c r="H97" s="299">
        <f t="shared" si="7"/>
        <v>504.7296</v>
      </c>
      <c r="I97" s="299">
        <f t="shared" si="8"/>
        <v>514.25279999999998</v>
      </c>
      <c r="J97" s="299">
        <f t="shared" si="9"/>
        <v>523.77600000000007</v>
      </c>
    </row>
    <row r="98" spans="1:10" x14ac:dyDescent="0.2">
      <c r="A98" s="297">
        <v>89</v>
      </c>
      <c r="B98" s="297">
        <v>65</v>
      </c>
      <c r="C98" s="297">
        <v>0.62</v>
      </c>
      <c r="D98" s="297">
        <v>0.65720000000000001</v>
      </c>
      <c r="E98" s="297">
        <v>0.66959999999999997</v>
      </c>
      <c r="F98" s="297">
        <v>0.68200000000000005</v>
      </c>
      <c r="G98" s="299">
        <f t="shared" si="6"/>
        <v>483.59999999999997</v>
      </c>
      <c r="H98" s="299">
        <f t="shared" si="7"/>
        <v>512.61599999999999</v>
      </c>
      <c r="I98" s="299">
        <f t="shared" si="8"/>
        <v>522.28800000000001</v>
      </c>
      <c r="J98" s="299">
        <f t="shared" si="9"/>
        <v>531.96</v>
      </c>
    </row>
    <row r="99" spans="1:10" x14ac:dyDescent="0.2">
      <c r="A99" s="297">
        <v>90</v>
      </c>
      <c r="B99" s="297">
        <v>66</v>
      </c>
      <c r="C99" s="297">
        <v>0.62</v>
      </c>
      <c r="D99" s="297">
        <v>0.65720000000000001</v>
      </c>
      <c r="E99" s="297">
        <v>0.66959999999999997</v>
      </c>
      <c r="F99" s="297">
        <v>0.68200000000000005</v>
      </c>
      <c r="G99" s="299">
        <f t="shared" ref="G99" si="10">C99*$B99*12</f>
        <v>491.04</v>
      </c>
      <c r="H99" s="299">
        <f t="shared" si="7"/>
        <v>520.50239999999997</v>
      </c>
      <c r="I99" s="299">
        <f t="shared" si="8"/>
        <v>530.32319999999993</v>
      </c>
      <c r="J99" s="299">
        <f t="shared" si="9"/>
        <v>540.14400000000001</v>
      </c>
    </row>
    <row r="100" spans="1:10" x14ac:dyDescent="0.2">
      <c r="A100" s="297">
        <v>91</v>
      </c>
      <c r="B100" s="297">
        <v>1</v>
      </c>
      <c r="C100" s="298">
        <v>0.66</v>
      </c>
      <c r="D100" s="298">
        <v>0.6996</v>
      </c>
      <c r="E100" s="298">
        <v>0.71279999999999999</v>
      </c>
      <c r="F100" s="298">
        <v>0.72599999999999998</v>
      </c>
      <c r="G100" s="299">
        <f>G$99+C100*$B100*12</f>
        <v>498.96000000000004</v>
      </c>
      <c r="H100" s="299">
        <f t="shared" ref="H100:J115" si="11">H$99+D100*$B100*12</f>
        <v>528.89760000000001</v>
      </c>
      <c r="I100" s="299">
        <f t="shared" si="11"/>
        <v>538.87679999999989</v>
      </c>
      <c r="J100" s="299">
        <f t="shared" si="11"/>
        <v>548.85599999999999</v>
      </c>
    </row>
    <row r="101" spans="1:10" x14ac:dyDescent="0.2">
      <c r="A101" s="297">
        <v>92</v>
      </c>
      <c r="B101" s="297">
        <v>2</v>
      </c>
      <c r="C101" s="298">
        <v>0.66</v>
      </c>
      <c r="D101" s="298">
        <v>0.6996</v>
      </c>
      <c r="E101" s="298">
        <v>0.71279999999999999</v>
      </c>
      <c r="F101" s="298">
        <v>0.72599999999999998</v>
      </c>
      <c r="G101" s="299">
        <f t="shared" ref="G101:G119" si="12">G$99+C101*$B101*12</f>
        <v>506.88</v>
      </c>
      <c r="H101" s="299">
        <f t="shared" si="11"/>
        <v>537.29279999999994</v>
      </c>
      <c r="I101" s="299">
        <f t="shared" si="11"/>
        <v>547.43039999999996</v>
      </c>
      <c r="J101" s="299">
        <f t="shared" si="11"/>
        <v>557.56799999999998</v>
      </c>
    </row>
    <row r="102" spans="1:10" x14ac:dyDescent="0.2">
      <c r="A102" s="297">
        <v>93</v>
      </c>
      <c r="B102" s="297">
        <v>3</v>
      </c>
      <c r="C102" s="298">
        <v>0.66</v>
      </c>
      <c r="D102" s="298">
        <v>0.6996</v>
      </c>
      <c r="E102" s="298">
        <v>0.71279999999999999</v>
      </c>
      <c r="F102" s="298">
        <v>0.72599999999999998</v>
      </c>
      <c r="G102" s="299">
        <f t="shared" si="12"/>
        <v>514.80000000000007</v>
      </c>
      <c r="H102" s="299">
        <f t="shared" si="11"/>
        <v>545.68799999999999</v>
      </c>
      <c r="I102" s="299">
        <f t="shared" si="11"/>
        <v>555.98399999999992</v>
      </c>
      <c r="J102" s="299">
        <f t="shared" si="11"/>
        <v>566.28</v>
      </c>
    </row>
    <row r="103" spans="1:10" x14ac:dyDescent="0.2">
      <c r="A103" s="297">
        <v>94</v>
      </c>
      <c r="B103" s="297">
        <v>4</v>
      </c>
      <c r="C103" s="298">
        <v>0.66</v>
      </c>
      <c r="D103" s="298">
        <v>0.6996</v>
      </c>
      <c r="E103" s="298">
        <v>0.71279999999999999</v>
      </c>
      <c r="F103" s="298">
        <v>0.72599999999999998</v>
      </c>
      <c r="G103" s="299">
        <f t="shared" si="12"/>
        <v>522.72</v>
      </c>
      <c r="H103" s="299">
        <f t="shared" si="11"/>
        <v>554.08319999999992</v>
      </c>
      <c r="I103" s="299">
        <f t="shared" si="11"/>
        <v>564.53759999999988</v>
      </c>
      <c r="J103" s="299">
        <f t="shared" si="11"/>
        <v>574.99199999999996</v>
      </c>
    </row>
    <row r="104" spans="1:10" x14ac:dyDescent="0.2">
      <c r="A104" s="297">
        <v>95</v>
      </c>
      <c r="B104" s="297">
        <v>5</v>
      </c>
      <c r="C104" s="298">
        <v>0.66</v>
      </c>
      <c r="D104" s="298">
        <v>0.6996</v>
      </c>
      <c r="E104" s="298">
        <v>0.71279999999999999</v>
      </c>
      <c r="F104" s="298">
        <v>0.72599999999999998</v>
      </c>
      <c r="G104" s="299">
        <f t="shared" si="12"/>
        <v>530.64</v>
      </c>
      <c r="H104" s="299">
        <f t="shared" si="11"/>
        <v>562.47839999999997</v>
      </c>
      <c r="I104" s="299">
        <f t="shared" si="11"/>
        <v>573.09119999999996</v>
      </c>
      <c r="J104" s="299">
        <f t="shared" si="11"/>
        <v>583.70399999999995</v>
      </c>
    </row>
    <row r="105" spans="1:10" x14ac:dyDescent="0.2">
      <c r="A105" s="297">
        <v>96</v>
      </c>
      <c r="B105" s="297">
        <v>6</v>
      </c>
      <c r="C105" s="298">
        <v>0.66</v>
      </c>
      <c r="D105" s="298">
        <v>0.6996</v>
      </c>
      <c r="E105" s="298">
        <v>0.71279999999999999</v>
      </c>
      <c r="F105" s="298">
        <v>0.72599999999999998</v>
      </c>
      <c r="G105" s="299">
        <f t="shared" si="12"/>
        <v>538.56000000000006</v>
      </c>
      <c r="H105" s="299">
        <f t="shared" si="11"/>
        <v>570.87360000000001</v>
      </c>
      <c r="I105" s="299">
        <f t="shared" si="11"/>
        <v>581.64479999999992</v>
      </c>
      <c r="J105" s="299">
        <f t="shared" si="11"/>
        <v>592.41600000000005</v>
      </c>
    </row>
    <row r="106" spans="1:10" x14ac:dyDescent="0.2">
      <c r="A106" s="297">
        <v>97</v>
      </c>
      <c r="B106" s="297">
        <v>7</v>
      </c>
      <c r="C106" s="298">
        <v>0.66</v>
      </c>
      <c r="D106" s="298">
        <v>0.6996</v>
      </c>
      <c r="E106" s="298">
        <v>0.71279999999999999</v>
      </c>
      <c r="F106" s="298">
        <v>0.72599999999999998</v>
      </c>
      <c r="G106" s="299">
        <f t="shared" si="12"/>
        <v>546.48</v>
      </c>
      <c r="H106" s="299">
        <f t="shared" si="11"/>
        <v>579.26879999999994</v>
      </c>
      <c r="I106" s="299">
        <f t="shared" si="11"/>
        <v>590.19839999999999</v>
      </c>
      <c r="J106" s="299">
        <f t="shared" si="11"/>
        <v>601.12800000000004</v>
      </c>
    </row>
    <row r="107" spans="1:10" x14ac:dyDescent="0.2">
      <c r="A107" s="297">
        <v>98</v>
      </c>
      <c r="B107" s="297">
        <v>8</v>
      </c>
      <c r="C107" s="298">
        <v>0.66</v>
      </c>
      <c r="D107" s="298">
        <v>0.6996</v>
      </c>
      <c r="E107" s="298">
        <v>0.71279999999999999</v>
      </c>
      <c r="F107" s="298">
        <v>0.72599999999999998</v>
      </c>
      <c r="G107" s="299">
        <f t="shared" si="12"/>
        <v>554.4</v>
      </c>
      <c r="H107" s="299">
        <f t="shared" si="11"/>
        <v>587.66399999999999</v>
      </c>
      <c r="I107" s="299">
        <f t="shared" si="11"/>
        <v>598.75199999999995</v>
      </c>
      <c r="J107" s="299">
        <f t="shared" si="11"/>
        <v>609.84</v>
      </c>
    </row>
    <row r="108" spans="1:10" x14ac:dyDescent="0.2">
      <c r="A108" s="297">
        <v>99</v>
      </c>
      <c r="B108" s="297">
        <v>9</v>
      </c>
      <c r="C108" s="298">
        <v>0.66</v>
      </c>
      <c r="D108" s="298">
        <v>0.6996</v>
      </c>
      <c r="E108" s="298">
        <v>0.71279999999999999</v>
      </c>
      <c r="F108" s="298">
        <v>0.72599999999999998</v>
      </c>
      <c r="G108" s="299">
        <f t="shared" si="12"/>
        <v>562.32000000000005</v>
      </c>
      <c r="H108" s="299">
        <f t="shared" si="11"/>
        <v>596.05919999999992</v>
      </c>
      <c r="I108" s="299">
        <f t="shared" si="11"/>
        <v>607.30559999999991</v>
      </c>
      <c r="J108" s="299">
        <f t="shared" si="11"/>
        <v>618.55200000000002</v>
      </c>
    </row>
    <row r="109" spans="1:10" x14ac:dyDescent="0.2">
      <c r="A109" s="297">
        <v>100</v>
      </c>
      <c r="B109" s="297">
        <v>10</v>
      </c>
      <c r="C109" s="298">
        <v>0.66</v>
      </c>
      <c r="D109" s="298">
        <v>0.6996</v>
      </c>
      <c r="E109" s="298">
        <v>0.71279999999999999</v>
      </c>
      <c r="F109" s="298">
        <v>0.72599999999999998</v>
      </c>
      <c r="G109" s="299">
        <f t="shared" si="12"/>
        <v>570.24</v>
      </c>
      <c r="H109" s="299">
        <f t="shared" si="11"/>
        <v>604.45439999999996</v>
      </c>
      <c r="I109" s="299">
        <f t="shared" si="11"/>
        <v>615.85919999999987</v>
      </c>
      <c r="J109" s="299">
        <f t="shared" si="11"/>
        <v>627.26400000000001</v>
      </c>
    </row>
    <row r="110" spans="1:10" x14ac:dyDescent="0.2">
      <c r="A110" s="297">
        <v>101</v>
      </c>
      <c r="B110" s="297">
        <v>11</v>
      </c>
      <c r="C110" s="298">
        <v>0.66</v>
      </c>
      <c r="D110" s="298">
        <v>0.6996</v>
      </c>
      <c r="E110" s="298">
        <v>0.71279999999999999</v>
      </c>
      <c r="F110" s="298">
        <v>0.72599999999999998</v>
      </c>
      <c r="G110" s="299">
        <f t="shared" si="12"/>
        <v>578.16000000000008</v>
      </c>
      <c r="H110" s="299">
        <f t="shared" si="11"/>
        <v>612.84960000000001</v>
      </c>
      <c r="I110" s="299">
        <f t="shared" si="11"/>
        <v>624.41279999999995</v>
      </c>
      <c r="J110" s="299">
        <f t="shared" si="11"/>
        <v>635.976</v>
      </c>
    </row>
    <row r="111" spans="1:10" x14ac:dyDescent="0.2">
      <c r="A111" s="297">
        <v>102</v>
      </c>
      <c r="B111" s="297">
        <v>12</v>
      </c>
      <c r="C111" s="298">
        <v>0.66</v>
      </c>
      <c r="D111" s="298">
        <v>0.6996</v>
      </c>
      <c r="E111" s="298">
        <v>0.71279999999999999</v>
      </c>
      <c r="F111" s="298">
        <v>0.72599999999999998</v>
      </c>
      <c r="G111" s="299">
        <f t="shared" si="12"/>
        <v>586.08000000000004</v>
      </c>
      <c r="H111" s="299">
        <f t="shared" si="11"/>
        <v>621.24479999999994</v>
      </c>
      <c r="I111" s="299">
        <f t="shared" si="11"/>
        <v>632.96639999999991</v>
      </c>
      <c r="J111" s="299">
        <f t="shared" si="11"/>
        <v>644.68799999999999</v>
      </c>
    </row>
    <row r="112" spans="1:10" x14ac:dyDescent="0.2">
      <c r="A112" s="297">
        <v>103</v>
      </c>
      <c r="B112" s="297">
        <v>13</v>
      </c>
      <c r="C112" s="298">
        <v>0.66</v>
      </c>
      <c r="D112" s="298">
        <v>0.6996</v>
      </c>
      <c r="E112" s="298">
        <v>0.71279999999999999</v>
      </c>
      <c r="F112" s="298">
        <v>0.72599999999999998</v>
      </c>
      <c r="G112" s="299">
        <f t="shared" si="12"/>
        <v>594</v>
      </c>
      <c r="H112" s="299">
        <f t="shared" si="11"/>
        <v>629.64</v>
      </c>
      <c r="I112" s="299">
        <f t="shared" si="11"/>
        <v>641.52</v>
      </c>
      <c r="J112" s="299">
        <f t="shared" si="11"/>
        <v>653.4</v>
      </c>
    </row>
    <row r="113" spans="1:10" x14ac:dyDescent="0.2">
      <c r="A113" s="297">
        <v>104</v>
      </c>
      <c r="B113" s="297">
        <v>14</v>
      </c>
      <c r="C113" s="298">
        <v>0.66</v>
      </c>
      <c r="D113" s="298">
        <v>0.6996</v>
      </c>
      <c r="E113" s="298">
        <v>0.71279999999999999</v>
      </c>
      <c r="F113" s="298">
        <v>0.72599999999999998</v>
      </c>
      <c r="G113" s="299">
        <f t="shared" si="12"/>
        <v>601.92000000000007</v>
      </c>
      <c r="H113" s="299">
        <f t="shared" si="11"/>
        <v>638.03519999999992</v>
      </c>
      <c r="I113" s="299">
        <f t="shared" si="11"/>
        <v>650.07359999999994</v>
      </c>
      <c r="J113" s="299">
        <f t="shared" si="11"/>
        <v>662.11199999999997</v>
      </c>
    </row>
    <row r="114" spans="1:10" x14ac:dyDescent="0.2">
      <c r="A114" s="297">
        <v>105</v>
      </c>
      <c r="B114" s="297">
        <v>15</v>
      </c>
      <c r="C114" s="298">
        <v>0.66</v>
      </c>
      <c r="D114" s="298">
        <v>0.6996</v>
      </c>
      <c r="E114" s="298">
        <v>0.71279999999999999</v>
      </c>
      <c r="F114" s="298">
        <v>0.72599999999999998</v>
      </c>
      <c r="G114" s="299">
        <f t="shared" si="12"/>
        <v>609.84</v>
      </c>
      <c r="H114" s="299">
        <f t="shared" si="11"/>
        <v>646.43039999999996</v>
      </c>
      <c r="I114" s="299">
        <f t="shared" si="11"/>
        <v>658.6271999999999</v>
      </c>
      <c r="J114" s="299">
        <f t="shared" si="11"/>
        <v>670.82400000000007</v>
      </c>
    </row>
    <row r="115" spans="1:10" x14ac:dyDescent="0.2">
      <c r="A115" s="297">
        <v>106</v>
      </c>
      <c r="B115" s="297">
        <v>16</v>
      </c>
      <c r="C115" s="298">
        <v>0.66</v>
      </c>
      <c r="D115" s="298">
        <v>0.6996</v>
      </c>
      <c r="E115" s="298">
        <v>0.71279999999999999</v>
      </c>
      <c r="F115" s="298">
        <v>0.72599999999999998</v>
      </c>
      <c r="G115" s="299">
        <f t="shared" si="12"/>
        <v>617.76</v>
      </c>
      <c r="H115" s="299">
        <f t="shared" si="11"/>
        <v>654.82559999999989</v>
      </c>
      <c r="I115" s="299">
        <f t="shared" si="11"/>
        <v>667.18079999999986</v>
      </c>
      <c r="J115" s="299">
        <f t="shared" si="11"/>
        <v>679.53600000000006</v>
      </c>
    </row>
    <row r="116" spans="1:10" x14ac:dyDescent="0.2">
      <c r="A116" s="297">
        <v>107</v>
      </c>
      <c r="B116" s="297">
        <v>17</v>
      </c>
      <c r="C116" s="298">
        <v>0.66</v>
      </c>
      <c r="D116" s="298">
        <v>0.6996</v>
      </c>
      <c r="E116" s="298">
        <v>0.71279999999999999</v>
      </c>
      <c r="F116" s="298">
        <v>0.72599999999999998</v>
      </c>
      <c r="G116" s="299">
        <f t="shared" si="12"/>
        <v>625.68000000000006</v>
      </c>
      <c r="H116" s="299">
        <f t="shared" ref="H116:H119" si="13">H$99+D116*$B116*12</f>
        <v>663.22079999999994</v>
      </c>
      <c r="I116" s="299">
        <f t="shared" ref="I116:I119" si="14">I$99+E116*$B116*12</f>
        <v>675.73439999999994</v>
      </c>
      <c r="J116" s="299">
        <f t="shared" ref="J116:J119" si="15">J$99+F116*$B116*12</f>
        <v>688.24800000000005</v>
      </c>
    </row>
    <row r="117" spans="1:10" x14ac:dyDescent="0.2">
      <c r="A117" s="297">
        <v>108</v>
      </c>
      <c r="B117" s="297">
        <v>18</v>
      </c>
      <c r="C117" s="298">
        <v>0.66</v>
      </c>
      <c r="D117" s="298">
        <v>0.6996</v>
      </c>
      <c r="E117" s="298">
        <v>0.71279999999999999</v>
      </c>
      <c r="F117" s="298">
        <v>0.72599999999999998</v>
      </c>
      <c r="G117" s="299">
        <f t="shared" si="12"/>
        <v>633.6</v>
      </c>
      <c r="H117" s="299">
        <f t="shared" si="13"/>
        <v>671.61599999999999</v>
      </c>
      <c r="I117" s="299">
        <f t="shared" si="14"/>
        <v>684.2879999999999</v>
      </c>
      <c r="J117" s="299">
        <f t="shared" si="15"/>
        <v>696.96</v>
      </c>
    </row>
    <row r="118" spans="1:10" x14ac:dyDescent="0.2">
      <c r="A118" s="297">
        <v>109</v>
      </c>
      <c r="B118" s="297">
        <v>19</v>
      </c>
      <c r="C118" s="298">
        <v>0.66</v>
      </c>
      <c r="D118" s="298">
        <v>0.6996</v>
      </c>
      <c r="E118" s="298">
        <v>0.71279999999999999</v>
      </c>
      <c r="F118" s="298">
        <v>0.72599999999999998</v>
      </c>
      <c r="G118" s="299">
        <f t="shared" si="12"/>
        <v>641.52</v>
      </c>
      <c r="H118" s="299">
        <f t="shared" si="13"/>
        <v>680.01119999999992</v>
      </c>
      <c r="I118" s="299">
        <f t="shared" si="14"/>
        <v>692.84159999999997</v>
      </c>
      <c r="J118" s="299">
        <f t="shared" si="15"/>
        <v>705.67200000000003</v>
      </c>
    </row>
    <row r="119" spans="1:10" x14ac:dyDescent="0.2">
      <c r="A119" s="297">
        <v>110</v>
      </c>
      <c r="B119" s="297">
        <v>20</v>
      </c>
      <c r="C119" s="298">
        <v>0.66</v>
      </c>
      <c r="D119" s="298">
        <v>0.6996</v>
      </c>
      <c r="E119" s="298">
        <v>0.71279999999999999</v>
      </c>
      <c r="F119" s="298">
        <v>0.72599999999999998</v>
      </c>
      <c r="G119" s="299">
        <f t="shared" si="12"/>
        <v>649.44000000000005</v>
      </c>
      <c r="H119" s="299">
        <f t="shared" si="13"/>
        <v>688.40639999999996</v>
      </c>
      <c r="I119" s="299">
        <f t="shared" si="14"/>
        <v>701.39519999999993</v>
      </c>
      <c r="J119" s="299">
        <f t="shared" si="15"/>
        <v>714.38400000000001</v>
      </c>
    </row>
    <row r="120" spans="1:10" x14ac:dyDescent="0.2">
      <c r="A120" s="297">
        <v>111</v>
      </c>
      <c r="B120" s="297">
        <v>1</v>
      </c>
      <c r="C120" s="298">
        <v>0.75</v>
      </c>
      <c r="D120" s="298">
        <v>0.79500000000000004</v>
      </c>
      <c r="E120" s="298">
        <v>0.81</v>
      </c>
      <c r="F120" s="298">
        <v>0.82499999999999996</v>
      </c>
      <c r="G120" s="299">
        <f>G$119+$B120*C120*12</f>
        <v>658.44</v>
      </c>
      <c r="H120" s="299">
        <f t="shared" ref="H120:J135" si="16">H$119+$B120*D120*12</f>
        <v>697.94639999999993</v>
      </c>
      <c r="I120" s="299">
        <f t="shared" si="16"/>
        <v>711.11519999999996</v>
      </c>
      <c r="J120" s="299">
        <f t="shared" si="16"/>
        <v>724.28399999999999</v>
      </c>
    </row>
    <row r="121" spans="1:10" x14ac:dyDescent="0.2">
      <c r="A121" s="297">
        <v>112</v>
      </c>
      <c r="B121" s="297">
        <v>2</v>
      </c>
      <c r="C121" s="298">
        <v>0.75</v>
      </c>
      <c r="D121" s="298">
        <v>0.79500000000000004</v>
      </c>
      <c r="E121" s="298">
        <v>0.81</v>
      </c>
      <c r="F121" s="298">
        <v>0.82499999999999996</v>
      </c>
      <c r="G121" s="299">
        <f t="shared" ref="G121:G184" si="17">G$119+$B121*C121*12</f>
        <v>667.44</v>
      </c>
      <c r="H121" s="299">
        <f t="shared" si="16"/>
        <v>707.4864</v>
      </c>
      <c r="I121" s="299">
        <f t="shared" si="16"/>
        <v>720.83519999999999</v>
      </c>
      <c r="J121" s="299">
        <f t="shared" si="16"/>
        <v>734.18399999999997</v>
      </c>
    </row>
    <row r="122" spans="1:10" x14ac:dyDescent="0.2">
      <c r="A122" s="297">
        <v>113</v>
      </c>
      <c r="B122" s="297">
        <v>3</v>
      </c>
      <c r="C122" s="298">
        <v>0.75</v>
      </c>
      <c r="D122" s="298">
        <v>0.79500000000000004</v>
      </c>
      <c r="E122" s="298">
        <v>0.81</v>
      </c>
      <c r="F122" s="298">
        <v>0.82499999999999996</v>
      </c>
      <c r="G122" s="299">
        <f t="shared" si="17"/>
        <v>676.44</v>
      </c>
      <c r="H122" s="299">
        <f t="shared" si="16"/>
        <v>717.02639999999997</v>
      </c>
      <c r="I122" s="299">
        <f t="shared" si="16"/>
        <v>730.5551999999999</v>
      </c>
      <c r="J122" s="299">
        <f t="shared" si="16"/>
        <v>744.08400000000006</v>
      </c>
    </row>
    <row r="123" spans="1:10" x14ac:dyDescent="0.2">
      <c r="A123" s="297">
        <v>114</v>
      </c>
      <c r="B123" s="297">
        <v>4</v>
      </c>
      <c r="C123" s="298">
        <v>0.75</v>
      </c>
      <c r="D123" s="298">
        <v>0.79500000000000004</v>
      </c>
      <c r="E123" s="298">
        <v>0.81</v>
      </c>
      <c r="F123" s="298">
        <v>0.82499999999999996</v>
      </c>
      <c r="G123" s="299">
        <f t="shared" si="17"/>
        <v>685.44</v>
      </c>
      <c r="H123" s="299">
        <f t="shared" si="16"/>
        <v>726.56639999999993</v>
      </c>
      <c r="I123" s="299">
        <f t="shared" si="16"/>
        <v>740.27519999999993</v>
      </c>
      <c r="J123" s="299">
        <f t="shared" si="16"/>
        <v>753.98400000000004</v>
      </c>
    </row>
    <row r="124" spans="1:10" x14ac:dyDescent="0.2">
      <c r="A124" s="297">
        <v>115</v>
      </c>
      <c r="B124" s="297">
        <v>5</v>
      </c>
      <c r="C124" s="298">
        <v>0.75</v>
      </c>
      <c r="D124" s="298">
        <v>0.79500000000000004</v>
      </c>
      <c r="E124" s="298">
        <v>0.81</v>
      </c>
      <c r="F124" s="298">
        <v>0.82499999999999996</v>
      </c>
      <c r="G124" s="299">
        <f t="shared" si="17"/>
        <v>694.44</v>
      </c>
      <c r="H124" s="299">
        <f t="shared" si="16"/>
        <v>736.10640000000001</v>
      </c>
      <c r="I124" s="299">
        <f t="shared" si="16"/>
        <v>749.99519999999995</v>
      </c>
      <c r="J124" s="299">
        <f t="shared" si="16"/>
        <v>763.88400000000001</v>
      </c>
    </row>
    <row r="125" spans="1:10" x14ac:dyDescent="0.2">
      <c r="A125" s="297">
        <v>116</v>
      </c>
      <c r="B125" s="297">
        <v>6</v>
      </c>
      <c r="C125" s="298">
        <v>0.75</v>
      </c>
      <c r="D125" s="298">
        <v>0.79500000000000004</v>
      </c>
      <c r="E125" s="298">
        <v>0.81</v>
      </c>
      <c r="F125" s="298">
        <v>0.82499999999999996</v>
      </c>
      <c r="G125" s="299">
        <f t="shared" si="17"/>
        <v>703.44</v>
      </c>
      <c r="H125" s="299">
        <f t="shared" si="16"/>
        <v>745.64639999999997</v>
      </c>
      <c r="I125" s="299">
        <f t="shared" si="16"/>
        <v>759.71519999999998</v>
      </c>
      <c r="J125" s="299">
        <f t="shared" si="16"/>
        <v>773.78399999999999</v>
      </c>
    </row>
    <row r="126" spans="1:10" x14ac:dyDescent="0.2">
      <c r="A126" s="297">
        <v>117</v>
      </c>
      <c r="B126" s="297">
        <v>7</v>
      </c>
      <c r="C126" s="298">
        <v>0.75</v>
      </c>
      <c r="D126" s="298">
        <v>0.79500000000000004</v>
      </c>
      <c r="E126" s="298">
        <v>0.81</v>
      </c>
      <c r="F126" s="298">
        <v>0.82499999999999996</v>
      </c>
      <c r="G126" s="299">
        <f t="shared" si="17"/>
        <v>712.44</v>
      </c>
      <c r="H126" s="299">
        <f t="shared" si="16"/>
        <v>755.18639999999994</v>
      </c>
      <c r="I126" s="299">
        <f t="shared" si="16"/>
        <v>769.4351999999999</v>
      </c>
      <c r="J126" s="299">
        <f t="shared" si="16"/>
        <v>783.68399999999997</v>
      </c>
    </row>
    <row r="127" spans="1:10" x14ac:dyDescent="0.2">
      <c r="A127" s="297">
        <v>118</v>
      </c>
      <c r="B127" s="297">
        <v>8</v>
      </c>
      <c r="C127" s="298">
        <v>0.75</v>
      </c>
      <c r="D127" s="298">
        <v>0.79500000000000004</v>
      </c>
      <c r="E127" s="298">
        <v>0.81</v>
      </c>
      <c r="F127" s="298">
        <v>0.82499999999999996</v>
      </c>
      <c r="G127" s="299">
        <f t="shared" si="17"/>
        <v>721.44</v>
      </c>
      <c r="H127" s="299">
        <f t="shared" si="16"/>
        <v>764.72640000000001</v>
      </c>
      <c r="I127" s="299">
        <f t="shared" si="16"/>
        <v>779.15519999999992</v>
      </c>
      <c r="J127" s="299">
        <f t="shared" si="16"/>
        <v>793.58400000000006</v>
      </c>
    </row>
    <row r="128" spans="1:10" x14ac:dyDescent="0.2">
      <c r="A128" s="297">
        <v>119</v>
      </c>
      <c r="B128" s="297">
        <v>9</v>
      </c>
      <c r="C128" s="298">
        <v>0.75</v>
      </c>
      <c r="D128" s="298">
        <v>0.79500000000000004</v>
      </c>
      <c r="E128" s="298">
        <v>0.81</v>
      </c>
      <c r="F128" s="298">
        <v>0.82499999999999996</v>
      </c>
      <c r="G128" s="299">
        <f t="shared" si="17"/>
        <v>730.44</v>
      </c>
      <c r="H128" s="299">
        <f t="shared" si="16"/>
        <v>774.26639999999998</v>
      </c>
      <c r="I128" s="299">
        <f t="shared" si="16"/>
        <v>788.87519999999995</v>
      </c>
      <c r="J128" s="299">
        <f t="shared" si="16"/>
        <v>803.48400000000004</v>
      </c>
    </row>
    <row r="129" spans="1:10" x14ac:dyDescent="0.2">
      <c r="A129" s="297">
        <v>120</v>
      </c>
      <c r="B129" s="297">
        <v>10</v>
      </c>
      <c r="C129" s="298">
        <v>0.75</v>
      </c>
      <c r="D129" s="298">
        <v>0.79500000000000004</v>
      </c>
      <c r="E129" s="298">
        <v>0.81</v>
      </c>
      <c r="F129" s="298">
        <v>0.82499999999999996</v>
      </c>
      <c r="G129" s="299">
        <f t="shared" si="17"/>
        <v>739.44</v>
      </c>
      <c r="H129" s="299">
        <f t="shared" si="16"/>
        <v>783.80639999999994</v>
      </c>
      <c r="I129" s="299">
        <f t="shared" si="16"/>
        <v>798.59519999999998</v>
      </c>
      <c r="J129" s="299">
        <f t="shared" si="16"/>
        <v>813.38400000000001</v>
      </c>
    </row>
    <row r="130" spans="1:10" x14ac:dyDescent="0.2">
      <c r="A130" s="297">
        <v>121</v>
      </c>
      <c r="B130" s="297">
        <v>11</v>
      </c>
      <c r="C130" s="298">
        <v>0.75</v>
      </c>
      <c r="D130" s="298">
        <v>0.79500000000000004</v>
      </c>
      <c r="E130" s="298">
        <v>0.81</v>
      </c>
      <c r="F130" s="298">
        <v>0.82499999999999996</v>
      </c>
      <c r="G130" s="299">
        <f t="shared" si="17"/>
        <v>748.44</v>
      </c>
      <c r="H130" s="299">
        <f t="shared" si="16"/>
        <v>793.34640000000002</v>
      </c>
      <c r="I130" s="299">
        <f t="shared" si="16"/>
        <v>808.31519999999989</v>
      </c>
      <c r="J130" s="299">
        <f t="shared" si="16"/>
        <v>823.28399999999999</v>
      </c>
    </row>
    <row r="131" spans="1:10" x14ac:dyDescent="0.2">
      <c r="A131" s="297">
        <v>122</v>
      </c>
      <c r="B131" s="297">
        <v>12</v>
      </c>
      <c r="C131" s="298">
        <v>0.75</v>
      </c>
      <c r="D131" s="298">
        <v>0.79500000000000004</v>
      </c>
      <c r="E131" s="298">
        <v>0.81</v>
      </c>
      <c r="F131" s="298">
        <v>0.82499999999999996</v>
      </c>
      <c r="G131" s="299">
        <f t="shared" si="17"/>
        <v>757.44</v>
      </c>
      <c r="H131" s="299">
        <f t="shared" si="16"/>
        <v>802.88639999999998</v>
      </c>
      <c r="I131" s="299">
        <f t="shared" si="16"/>
        <v>818.03519999999992</v>
      </c>
      <c r="J131" s="299">
        <f t="shared" si="16"/>
        <v>833.18399999999997</v>
      </c>
    </row>
    <row r="132" spans="1:10" x14ac:dyDescent="0.2">
      <c r="A132" s="297">
        <v>123</v>
      </c>
      <c r="B132" s="297">
        <v>13</v>
      </c>
      <c r="C132" s="298">
        <v>0.75</v>
      </c>
      <c r="D132" s="298">
        <v>0.79500000000000004</v>
      </c>
      <c r="E132" s="298">
        <v>0.81</v>
      </c>
      <c r="F132" s="298">
        <v>0.82499999999999996</v>
      </c>
      <c r="G132" s="299">
        <f t="shared" si="17"/>
        <v>766.44</v>
      </c>
      <c r="H132" s="299">
        <f t="shared" si="16"/>
        <v>812.42639999999994</v>
      </c>
      <c r="I132" s="299">
        <f t="shared" si="16"/>
        <v>827.75519999999995</v>
      </c>
      <c r="J132" s="299">
        <f t="shared" si="16"/>
        <v>843.08400000000006</v>
      </c>
    </row>
    <row r="133" spans="1:10" x14ac:dyDescent="0.2">
      <c r="A133" s="297">
        <v>124</v>
      </c>
      <c r="B133" s="297">
        <v>14</v>
      </c>
      <c r="C133" s="298">
        <v>0.75</v>
      </c>
      <c r="D133" s="298">
        <v>0.79500000000000004</v>
      </c>
      <c r="E133" s="298">
        <v>0.81</v>
      </c>
      <c r="F133" s="298">
        <v>0.82499999999999996</v>
      </c>
      <c r="G133" s="299">
        <f t="shared" si="17"/>
        <v>775.44</v>
      </c>
      <c r="H133" s="299">
        <f t="shared" si="16"/>
        <v>821.96640000000002</v>
      </c>
      <c r="I133" s="299">
        <f t="shared" si="16"/>
        <v>837.47519999999986</v>
      </c>
      <c r="J133" s="299">
        <f t="shared" si="16"/>
        <v>852.98400000000004</v>
      </c>
    </row>
    <row r="134" spans="1:10" x14ac:dyDescent="0.2">
      <c r="A134" s="297">
        <v>125</v>
      </c>
      <c r="B134" s="297">
        <v>15</v>
      </c>
      <c r="C134" s="298">
        <v>0.75</v>
      </c>
      <c r="D134" s="298">
        <v>0.79500000000000004</v>
      </c>
      <c r="E134" s="298">
        <v>0.81</v>
      </c>
      <c r="F134" s="298">
        <v>0.82499999999999996</v>
      </c>
      <c r="G134" s="299">
        <f t="shared" si="17"/>
        <v>784.44</v>
      </c>
      <c r="H134" s="299">
        <f t="shared" si="16"/>
        <v>831.50639999999999</v>
      </c>
      <c r="I134" s="299">
        <f t="shared" si="16"/>
        <v>847.19519999999989</v>
      </c>
      <c r="J134" s="299">
        <f t="shared" si="16"/>
        <v>862.88400000000001</v>
      </c>
    </row>
    <row r="135" spans="1:10" x14ac:dyDescent="0.2">
      <c r="A135" s="297">
        <v>126</v>
      </c>
      <c r="B135" s="297">
        <v>16</v>
      </c>
      <c r="C135" s="298">
        <v>0.75</v>
      </c>
      <c r="D135" s="298">
        <v>0.79500000000000004</v>
      </c>
      <c r="E135" s="298">
        <v>0.81</v>
      </c>
      <c r="F135" s="298">
        <v>0.82499999999999996</v>
      </c>
      <c r="G135" s="299">
        <f t="shared" si="17"/>
        <v>793.44</v>
      </c>
      <c r="H135" s="299">
        <f t="shared" si="16"/>
        <v>841.04639999999995</v>
      </c>
      <c r="I135" s="299">
        <f t="shared" si="16"/>
        <v>856.91519999999991</v>
      </c>
      <c r="J135" s="299">
        <f t="shared" si="16"/>
        <v>872.78399999999999</v>
      </c>
    </row>
    <row r="136" spans="1:10" x14ac:dyDescent="0.2">
      <c r="A136" s="297">
        <v>127</v>
      </c>
      <c r="B136" s="297">
        <v>17</v>
      </c>
      <c r="C136" s="298">
        <v>0.75</v>
      </c>
      <c r="D136" s="298">
        <v>0.79500000000000004</v>
      </c>
      <c r="E136" s="298">
        <v>0.81</v>
      </c>
      <c r="F136" s="298">
        <v>0.82499999999999996</v>
      </c>
      <c r="G136" s="299">
        <f t="shared" si="17"/>
        <v>802.44</v>
      </c>
      <c r="H136" s="299">
        <f t="shared" ref="H136:H199" si="18">H$119+$B136*D136*12</f>
        <v>850.58639999999991</v>
      </c>
      <c r="I136" s="299">
        <f t="shared" ref="I136:I199" si="19">I$119+$B136*E136*12</f>
        <v>866.63519999999994</v>
      </c>
      <c r="J136" s="299">
        <f t="shared" ref="J136:J199" si="20">J$119+$B136*F136*12</f>
        <v>882.68399999999997</v>
      </c>
    </row>
    <row r="137" spans="1:10" x14ac:dyDescent="0.2">
      <c r="A137" s="297">
        <v>128</v>
      </c>
      <c r="B137" s="297">
        <v>18</v>
      </c>
      <c r="C137" s="298">
        <v>0.75</v>
      </c>
      <c r="D137" s="298">
        <v>0.79500000000000004</v>
      </c>
      <c r="E137" s="298">
        <v>0.81</v>
      </c>
      <c r="F137" s="298">
        <v>0.82499999999999996</v>
      </c>
      <c r="G137" s="299">
        <f t="shared" si="17"/>
        <v>811.44</v>
      </c>
      <c r="H137" s="299">
        <f t="shared" si="18"/>
        <v>860.12639999999999</v>
      </c>
      <c r="I137" s="299">
        <f t="shared" si="19"/>
        <v>876.35519999999997</v>
      </c>
      <c r="J137" s="299">
        <f t="shared" si="20"/>
        <v>892.58400000000006</v>
      </c>
    </row>
    <row r="138" spans="1:10" x14ac:dyDescent="0.2">
      <c r="A138" s="297">
        <v>129</v>
      </c>
      <c r="B138" s="297">
        <v>19</v>
      </c>
      <c r="C138" s="298">
        <v>0.75</v>
      </c>
      <c r="D138" s="298">
        <v>0.79500000000000004</v>
      </c>
      <c r="E138" s="298">
        <v>0.81</v>
      </c>
      <c r="F138" s="298">
        <v>0.82499999999999996</v>
      </c>
      <c r="G138" s="299">
        <f t="shared" si="17"/>
        <v>820.44</v>
      </c>
      <c r="H138" s="299">
        <f t="shared" si="18"/>
        <v>869.66639999999995</v>
      </c>
      <c r="I138" s="299">
        <f t="shared" si="19"/>
        <v>886.0752</v>
      </c>
      <c r="J138" s="299">
        <f t="shared" si="20"/>
        <v>902.48400000000004</v>
      </c>
    </row>
    <row r="139" spans="1:10" x14ac:dyDescent="0.2">
      <c r="A139" s="297">
        <v>130</v>
      </c>
      <c r="B139" s="297">
        <v>20</v>
      </c>
      <c r="C139" s="298">
        <v>0.75</v>
      </c>
      <c r="D139" s="298">
        <v>0.79500000000000004</v>
      </c>
      <c r="E139" s="298">
        <v>0.81</v>
      </c>
      <c r="F139" s="298">
        <v>0.82499999999999996</v>
      </c>
      <c r="G139" s="299">
        <f t="shared" si="17"/>
        <v>829.44</v>
      </c>
      <c r="H139" s="299">
        <f t="shared" si="18"/>
        <v>879.20640000000003</v>
      </c>
      <c r="I139" s="299">
        <f t="shared" si="19"/>
        <v>895.79520000000002</v>
      </c>
      <c r="J139" s="299">
        <f t="shared" si="20"/>
        <v>912.38400000000001</v>
      </c>
    </row>
    <row r="140" spans="1:10" x14ac:dyDescent="0.2">
      <c r="A140" s="297">
        <v>131</v>
      </c>
      <c r="B140" s="297">
        <v>21</v>
      </c>
      <c r="C140" s="298">
        <v>0.75</v>
      </c>
      <c r="D140" s="298">
        <v>0.79500000000000004</v>
      </c>
      <c r="E140" s="298">
        <v>0.81</v>
      </c>
      <c r="F140" s="298">
        <v>0.82499999999999996</v>
      </c>
      <c r="G140" s="299">
        <f t="shared" si="17"/>
        <v>838.44</v>
      </c>
      <c r="H140" s="299">
        <f t="shared" si="18"/>
        <v>888.74639999999999</v>
      </c>
      <c r="I140" s="299">
        <f t="shared" si="19"/>
        <v>905.51519999999994</v>
      </c>
      <c r="J140" s="299">
        <f t="shared" si="20"/>
        <v>922.28399999999999</v>
      </c>
    </row>
    <row r="141" spans="1:10" x14ac:dyDescent="0.2">
      <c r="A141" s="297">
        <v>132</v>
      </c>
      <c r="B141" s="297">
        <v>22</v>
      </c>
      <c r="C141" s="298">
        <v>0.75</v>
      </c>
      <c r="D141" s="298">
        <v>0.79500000000000004</v>
      </c>
      <c r="E141" s="298">
        <v>0.81</v>
      </c>
      <c r="F141" s="298">
        <v>0.82499999999999996</v>
      </c>
      <c r="G141" s="299">
        <f t="shared" si="17"/>
        <v>847.44</v>
      </c>
      <c r="H141" s="299">
        <f t="shared" si="18"/>
        <v>898.28639999999996</v>
      </c>
      <c r="I141" s="299">
        <f t="shared" si="19"/>
        <v>915.23519999999996</v>
      </c>
      <c r="J141" s="299">
        <f t="shared" si="20"/>
        <v>932.18399999999997</v>
      </c>
    </row>
    <row r="142" spans="1:10" x14ac:dyDescent="0.2">
      <c r="A142" s="297">
        <v>133</v>
      </c>
      <c r="B142" s="297">
        <v>23</v>
      </c>
      <c r="C142" s="298">
        <v>0.75</v>
      </c>
      <c r="D142" s="298">
        <v>0.79500000000000004</v>
      </c>
      <c r="E142" s="298">
        <v>0.81</v>
      </c>
      <c r="F142" s="298">
        <v>0.82499999999999996</v>
      </c>
      <c r="G142" s="299">
        <f t="shared" si="17"/>
        <v>856.44</v>
      </c>
      <c r="H142" s="299">
        <f t="shared" si="18"/>
        <v>907.82639999999992</v>
      </c>
      <c r="I142" s="299">
        <f t="shared" si="19"/>
        <v>924.95519999999999</v>
      </c>
      <c r="J142" s="299">
        <f t="shared" si="20"/>
        <v>942.08400000000006</v>
      </c>
    </row>
    <row r="143" spans="1:10" x14ac:dyDescent="0.2">
      <c r="A143" s="297">
        <v>134</v>
      </c>
      <c r="B143" s="297">
        <v>24</v>
      </c>
      <c r="C143" s="298">
        <v>0.75</v>
      </c>
      <c r="D143" s="298">
        <v>0.79500000000000004</v>
      </c>
      <c r="E143" s="298">
        <v>0.81</v>
      </c>
      <c r="F143" s="298">
        <v>0.82499999999999996</v>
      </c>
      <c r="G143" s="299">
        <f t="shared" si="17"/>
        <v>865.44</v>
      </c>
      <c r="H143" s="299">
        <f t="shared" si="18"/>
        <v>917.3664</v>
      </c>
      <c r="I143" s="299">
        <f t="shared" si="19"/>
        <v>934.6751999999999</v>
      </c>
      <c r="J143" s="299">
        <f t="shared" si="20"/>
        <v>951.98399999999992</v>
      </c>
    </row>
    <row r="144" spans="1:10" x14ac:dyDescent="0.2">
      <c r="A144" s="297">
        <v>135</v>
      </c>
      <c r="B144" s="297">
        <v>25</v>
      </c>
      <c r="C144" s="298">
        <v>0.75</v>
      </c>
      <c r="D144" s="298">
        <v>0.79500000000000004</v>
      </c>
      <c r="E144" s="298">
        <v>0.81</v>
      </c>
      <c r="F144" s="298">
        <v>0.82499999999999996</v>
      </c>
      <c r="G144" s="299">
        <f t="shared" si="17"/>
        <v>874.44</v>
      </c>
      <c r="H144" s="299">
        <f t="shared" si="18"/>
        <v>926.90639999999996</v>
      </c>
      <c r="I144" s="299">
        <f t="shared" si="19"/>
        <v>944.39519999999993</v>
      </c>
      <c r="J144" s="299">
        <f t="shared" si="20"/>
        <v>961.88400000000001</v>
      </c>
    </row>
    <row r="145" spans="1:10" x14ac:dyDescent="0.2">
      <c r="A145" s="297">
        <v>136</v>
      </c>
      <c r="B145" s="297">
        <v>26</v>
      </c>
      <c r="C145" s="298">
        <v>0.75</v>
      </c>
      <c r="D145" s="298">
        <v>0.79500000000000004</v>
      </c>
      <c r="E145" s="298">
        <v>0.81</v>
      </c>
      <c r="F145" s="298">
        <v>0.82499999999999996</v>
      </c>
      <c r="G145" s="299">
        <f t="shared" si="17"/>
        <v>883.44</v>
      </c>
      <c r="H145" s="299">
        <f t="shared" si="18"/>
        <v>936.44640000000004</v>
      </c>
      <c r="I145" s="299">
        <f t="shared" si="19"/>
        <v>954.11519999999996</v>
      </c>
      <c r="J145" s="299">
        <f t="shared" si="20"/>
        <v>971.78399999999999</v>
      </c>
    </row>
    <row r="146" spans="1:10" x14ac:dyDescent="0.2">
      <c r="A146" s="297">
        <v>137</v>
      </c>
      <c r="B146" s="297">
        <v>27</v>
      </c>
      <c r="C146" s="298">
        <v>0.75</v>
      </c>
      <c r="D146" s="298">
        <v>0.79500000000000004</v>
      </c>
      <c r="E146" s="298">
        <v>0.81</v>
      </c>
      <c r="F146" s="298">
        <v>0.82499999999999996</v>
      </c>
      <c r="G146" s="299">
        <f t="shared" si="17"/>
        <v>892.44</v>
      </c>
      <c r="H146" s="299">
        <f t="shared" si="18"/>
        <v>945.9864</v>
      </c>
      <c r="I146" s="299">
        <f t="shared" si="19"/>
        <v>963.83519999999999</v>
      </c>
      <c r="J146" s="299">
        <f t="shared" si="20"/>
        <v>981.68399999999997</v>
      </c>
    </row>
    <row r="147" spans="1:10" x14ac:dyDescent="0.2">
      <c r="A147" s="297">
        <v>138</v>
      </c>
      <c r="B147" s="297">
        <v>28</v>
      </c>
      <c r="C147" s="298">
        <v>0.75</v>
      </c>
      <c r="D147" s="298">
        <v>0.79500000000000004</v>
      </c>
      <c r="E147" s="298">
        <v>0.81</v>
      </c>
      <c r="F147" s="298">
        <v>0.82499999999999996</v>
      </c>
      <c r="G147" s="299">
        <f t="shared" si="17"/>
        <v>901.44</v>
      </c>
      <c r="H147" s="299">
        <f t="shared" si="18"/>
        <v>955.52639999999997</v>
      </c>
      <c r="I147" s="299">
        <f t="shared" si="19"/>
        <v>973.5551999999999</v>
      </c>
      <c r="J147" s="299">
        <f t="shared" si="20"/>
        <v>991.58400000000006</v>
      </c>
    </row>
    <row r="148" spans="1:10" x14ac:dyDescent="0.2">
      <c r="A148" s="297">
        <v>139</v>
      </c>
      <c r="B148" s="297">
        <v>29</v>
      </c>
      <c r="C148" s="298">
        <v>0.75</v>
      </c>
      <c r="D148" s="298">
        <v>0.79500000000000004</v>
      </c>
      <c r="E148" s="298">
        <v>0.81</v>
      </c>
      <c r="F148" s="298">
        <v>0.82499999999999996</v>
      </c>
      <c r="G148" s="299">
        <f t="shared" si="17"/>
        <v>910.44</v>
      </c>
      <c r="H148" s="299">
        <f t="shared" si="18"/>
        <v>965.06639999999993</v>
      </c>
      <c r="I148" s="299">
        <f t="shared" si="19"/>
        <v>983.27519999999993</v>
      </c>
      <c r="J148" s="299">
        <f t="shared" si="20"/>
        <v>1001.4839999999999</v>
      </c>
    </row>
    <row r="149" spans="1:10" x14ac:dyDescent="0.2">
      <c r="A149" s="297">
        <v>140</v>
      </c>
      <c r="B149" s="297">
        <v>30</v>
      </c>
      <c r="C149" s="298">
        <v>0.75</v>
      </c>
      <c r="D149" s="298">
        <v>0.79500000000000004</v>
      </c>
      <c r="E149" s="298">
        <v>0.81</v>
      </c>
      <c r="F149" s="298">
        <v>0.82499999999999996</v>
      </c>
      <c r="G149" s="299">
        <f t="shared" si="17"/>
        <v>919.44</v>
      </c>
      <c r="H149" s="299">
        <f t="shared" si="18"/>
        <v>974.60640000000001</v>
      </c>
      <c r="I149" s="299">
        <f t="shared" si="19"/>
        <v>992.99519999999995</v>
      </c>
      <c r="J149" s="299">
        <f t="shared" si="20"/>
        <v>1011.384</v>
      </c>
    </row>
    <row r="150" spans="1:10" x14ac:dyDescent="0.2">
      <c r="A150" s="297">
        <v>141</v>
      </c>
      <c r="B150" s="297">
        <v>31</v>
      </c>
      <c r="C150" s="298">
        <v>0.75</v>
      </c>
      <c r="D150" s="298">
        <v>0.79500000000000004</v>
      </c>
      <c r="E150" s="298">
        <v>0.81</v>
      </c>
      <c r="F150" s="298">
        <v>0.82499999999999996</v>
      </c>
      <c r="G150" s="299">
        <f t="shared" si="17"/>
        <v>928.44</v>
      </c>
      <c r="H150" s="299">
        <f t="shared" si="18"/>
        <v>984.14639999999997</v>
      </c>
      <c r="I150" s="299">
        <f t="shared" si="19"/>
        <v>1002.7152</v>
      </c>
      <c r="J150" s="299">
        <f t="shared" si="20"/>
        <v>1021.284</v>
      </c>
    </row>
    <row r="151" spans="1:10" x14ac:dyDescent="0.2">
      <c r="A151" s="297">
        <v>142</v>
      </c>
      <c r="B151" s="297">
        <v>32</v>
      </c>
      <c r="C151" s="298">
        <v>0.75</v>
      </c>
      <c r="D151" s="298">
        <v>0.79500000000000004</v>
      </c>
      <c r="E151" s="298">
        <v>0.81</v>
      </c>
      <c r="F151" s="298">
        <v>0.82499999999999996</v>
      </c>
      <c r="G151" s="299">
        <f t="shared" si="17"/>
        <v>937.44</v>
      </c>
      <c r="H151" s="299">
        <f t="shared" si="18"/>
        <v>993.68640000000005</v>
      </c>
      <c r="I151" s="299">
        <f t="shared" si="19"/>
        <v>1012.4351999999999</v>
      </c>
      <c r="J151" s="299">
        <f t="shared" si="20"/>
        <v>1031.184</v>
      </c>
    </row>
    <row r="152" spans="1:10" x14ac:dyDescent="0.2">
      <c r="A152" s="297">
        <v>143</v>
      </c>
      <c r="B152" s="297">
        <v>33</v>
      </c>
      <c r="C152" s="298">
        <v>0.75</v>
      </c>
      <c r="D152" s="298">
        <v>0.79500000000000004</v>
      </c>
      <c r="E152" s="298">
        <v>0.81</v>
      </c>
      <c r="F152" s="298">
        <v>0.82499999999999996</v>
      </c>
      <c r="G152" s="299">
        <f t="shared" si="17"/>
        <v>946.44</v>
      </c>
      <c r="H152" s="299">
        <f t="shared" si="18"/>
        <v>1003.2264</v>
      </c>
      <c r="I152" s="299">
        <f t="shared" si="19"/>
        <v>1022.1551999999999</v>
      </c>
      <c r="J152" s="299">
        <f t="shared" si="20"/>
        <v>1041.0840000000001</v>
      </c>
    </row>
    <row r="153" spans="1:10" x14ac:dyDescent="0.2">
      <c r="A153" s="297">
        <v>144</v>
      </c>
      <c r="B153" s="297">
        <v>34</v>
      </c>
      <c r="C153" s="298">
        <v>0.75</v>
      </c>
      <c r="D153" s="298">
        <v>0.79500000000000004</v>
      </c>
      <c r="E153" s="298">
        <v>0.81</v>
      </c>
      <c r="F153" s="298">
        <v>0.82499999999999996</v>
      </c>
      <c r="G153" s="299">
        <f t="shared" si="17"/>
        <v>955.44</v>
      </c>
      <c r="H153" s="299">
        <f t="shared" si="18"/>
        <v>1012.7664</v>
      </c>
      <c r="I153" s="299">
        <f t="shared" si="19"/>
        <v>1031.8751999999999</v>
      </c>
      <c r="J153" s="299">
        <f t="shared" si="20"/>
        <v>1050.9839999999999</v>
      </c>
    </row>
    <row r="154" spans="1:10" x14ac:dyDescent="0.2">
      <c r="A154" s="297">
        <v>145</v>
      </c>
      <c r="B154" s="297">
        <v>35</v>
      </c>
      <c r="C154" s="298">
        <v>0.75</v>
      </c>
      <c r="D154" s="298">
        <v>0.79500000000000004</v>
      </c>
      <c r="E154" s="298">
        <v>0.81</v>
      </c>
      <c r="F154" s="298">
        <v>0.82499999999999996</v>
      </c>
      <c r="G154" s="299">
        <f t="shared" si="17"/>
        <v>964.44</v>
      </c>
      <c r="H154" s="299">
        <f t="shared" si="18"/>
        <v>1022.3063999999999</v>
      </c>
      <c r="I154" s="299">
        <f t="shared" si="19"/>
        <v>1041.5952</v>
      </c>
      <c r="J154" s="299">
        <f t="shared" si="20"/>
        <v>1060.884</v>
      </c>
    </row>
    <row r="155" spans="1:10" x14ac:dyDescent="0.2">
      <c r="A155" s="297">
        <v>146</v>
      </c>
      <c r="B155" s="297">
        <v>36</v>
      </c>
      <c r="C155" s="298">
        <v>0.75</v>
      </c>
      <c r="D155" s="298">
        <v>0.79500000000000004</v>
      </c>
      <c r="E155" s="298">
        <v>0.81</v>
      </c>
      <c r="F155" s="298">
        <v>0.82499999999999996</v>
      </c>
      <c r="G155" s="299">
        <f t="shared" si="17"/>
        <v>973.44</v>
      </c>
      <c r="H155" s="299">
        <f t="shared" si="18"/>
        <v>1031.8463999999999</v>
      </c>
      <c r="I155" s="299">
        <f t="shared" si="19"/>
        <v>1051.3152</v>
      </c>
      <c r="J155" s="299">
        <f t="shared" si="20"/>
        <v>1070.7840000000001</v>
      </c>
    </row>
    <row r="156" spans="1:10" x14ac:dyDescent="0.2">
      <c r="A156" s="297">
        <v>147</v>
      </c>
      <c r="B156" s="297">
        <v>37</v>
      </c>
      <c r="C156" s="298">
        <v>0.75</v>
      </c>
      <c r="D156" s="298">
        <v>0.79500000000000004</v>
      </c>
      <c r="E156" s="298">
        <v>0.81</v>
      </c>
      <c r="F156" s="298">
        <v>0.82499999999999996</v>
      </c>
      <c r="G156" s="299">
        <f t="shared" si="17"/>
        <v>982.44</v>
      </c>
      <c r="H156" s="299">
        <f t="shared" si="18"/>
        <v>1041.3863999999999</v>
      </c>
      <c r="I156" s="299">
        <f t="shared" si="19"/>
        <v>1061.0352</v>
      </c>
      <c r="J156" s="299">
        <f t="shared" si="20"/>
        <v>1080.684</v>
      </c>
    </row>
    <row r="157" spans="1:10" x14ac:dyDescent="0.2">
      <c r="A157" s="297">
        <v>148</v>
      </c>
      <c r="B157" s="297">
        <v>38</v>
      </c>
      <c r="C157" s="298">
        <v>0.75</v>
      </c>
      <c r="D157" s="298">
        <v>0.79500000000000004</v>
      </c>
      <c r="E157" s="298">
        <v>0.81</v>
      </c>
      <c r="F157" s="298">
        <v>0.82499999999999996</v>
      </c>
      <c r="G157" s="299">
        <f t="shared" si="17"/>
        <v>991.44</v>
      </c>
      <c r="H157" s="299">
        <f t="shared" si="18"/>
        <v>1050.9263999999998</v>
      </c>
      <c r="I157" s="299">
        <f t="shared" si="19"/>
        <v>1070.7552000000001</v>
      </c>
      <c r="J157" s="299">
        <f t="shared" si="20"/>
        <v>1090.5840000000001</v>
      </c>
    </row>
    <row r="158" spans="1:10" x14ac:dyDescent="0.2">
      <c r="A158" s="297">
        <v>149</v>
      </c>
      <c r="B158" s="297">
        <v>39</v>
      </c>
      <c r="C158" s="298">
        <v>0.75</v>
      </c>
      <c r="D158" s="298">
        <v>0.79500000000000004</v>
      </c>
      <c r="E158" s="298">
        <v>0.81</v>
      </c>
      <c r="F158" s="298">
        <v>0.82499999999999996</v>
      </c>
      <c r="G158" s="299">
        <f t="shared" si="17"/>
        <v>1000.44</v>
      </c>
      <c r="H158" s="299">
        <f t="shared" si="18"/>
        <v>1060.4664</v>
      </c>
      <c r="I158" s="299">
        <f t="shared" si="19"/>
        <v>1080.4751999999999</v>
      </c>
      <c r="J158" s="299">
        <f t="shared" si="20"/>
        <v>1100.4839999999999</v>
      </c>
    </row>
    <row r="159" spans="1:10" x14ac:dyDescent="0.2">
      <c r="A159" s="297">
        <v>150</v>
      </c>
      <c r="B159" s="297">
        <v>40</v>
      </c>
      <c r="C159" s="298">
        <v>0.75</v>
      </c>
      <c r="D159" s="298">
        <v>0.79500000000000004</v>
      </c>
      <c r="E159" s="298">
        <v>0.81</v>
      </c>
      <c r="F159" s="298">
        <v>0.82499999999999996</v>
      </c>
      <c r="G159" s="299">
        <f t="shared" si="17"/>
        <v>1009.44</v>
      </c>
      <c r="H159" s="299">
        <f t="shared" si="18"/>
        <v>1070.0064</v>
      </c>
      <c r="I159" s="299">
        <f t="shared" si="19"/>
        <v>1090.1952000000001</v>
      </c>
      <c r="J159" s="299">
        <f t="shared" si="20"/>
        <v>1110.384</v>
      </c>
    </row>
    <row r="160" spans="1:10" x14ac:dyDescent="0.2">
      <c r="A160" s="297">
        <v>151</v>
      </c>
      <c r="B160" s="297">
        <v>41</v>
      </c>
      <c r="C160" s="298">
        <v>0.75</v>
      </c>
      <c r="D160" s="298">
        <v>0.79500000000000004</v>
      </c>
      <c r="E160" s="298">
        <v>0.81</v>
      </c>
      <c r="F160" s="298">
        <v>0.82499999999999996</v>
      </c>
      <c r="G160" s="299">
        <f t="shared" si="17"/>
        <v>1018.44</v>
      </c>
      <c r="H160" s="299">
        <f t="shared" si="18"/>
        <v>1079.5463999999999</v>
      </c>
      <c r="I160" s="299">
        <f t="shared" si="19"/>
        <v>1099.9151999999999</v>
      </c>
      <c r="J160" s="299">
        <f t="shared" si="20"/>
        <v>1120.2840000000001</v>
      </c>
    </row>
    <row r="161" spans="1:10" x14ac:dyDescent="0.2">
      <c r="A161" s="297">
        <v>152</v>
      </c>
      <c r="B161" s="297">
        <v>42</v>
      </c>
      <c r="C161" s="298">
        <v>0.75</v>
      </c>
      <c r="D161" s="298">
        <v>0.79500000000000004</v>
      </c>
      <c r="E161" s="298">
        <v>0.81</v>
      </c>
      <c r="F161" s="298">
        <v>0.82499999999999996</v>
      </c>
      <c r="G161" s="299">
        <f t="shared" si="17"/>
        <v>1027.44</v>
      </c>
      <c r="H161" s="299">
        <f t="shared" si="18"/>
        <v>1089.0863999999999</v>
      </c>
      <c r="I161" s="299">
        <f t="shared" si="19"/>
        <v>1109.6351999999999</v>
      </c>
      <c r="J161" s="299">
        <f t="shared" si="20"/>
        <v>1130.184</v>
      </c>
    </row>
    <row r="162" spans="1:10" x14ac:dyDescent="0.2">
      <c r="A162" s="297">
        <v>153</v>
      </c>
      <c r="B162" s="297">
        <v>43</v>
      </c>
      <c r="C162" s="298">
        <v>0.75</v>
      </c>
      <c r="D162" s="298">
        <v>0.79500000000000004</v>
      </c>
      <c r="E162" s="298">
        <v>0.81</v>
      </c>
      <c r="F162" s="298">
        <v>0.82499999999999996</v>
      </c>
      <c r="G162" s="299">
        <f t="shared" si="17"/>
        <v>1036.44</v>
      </c>
      <c r="H162" s="299">
        <f t="shared" si="18"/>
        <v>1098.6264000000001</v>
      </c>
      <c r="I162" s="299">
        <f t="shared" si="19"/>
        <v>1119.3552</v>
      </c>
      <c r="J162" s="299">
        <f t="shared" si="20"/>
        <v>1140.0840000000001</v>
      </c>
    </row>
    <row r="163" spans="1:10" x14ac:dyDescent="0.2">
      <c r="A163" s="297">
        <v>154</v>
      </c>
      <c r="B163" s="297">
        <v>44</v>
      </c>
      <c r="C163" s="298">
        <v>0.75</v>
      </c>
      <c r="D163" s="298">
        <v>0.79500000000000004</v>
      </c>
      <c r="E163" s="298">
        <v>0.81</v>
      </c>
      <c r="F163" s="298">
        <v>0.82499999999999996</v>
      </c>
      <c r="G163" s="299">
        <f t="shared" si="17"/>
        <v>1045.44</v>
      </c>
      <c r="H163" s="299">
        <f t="shared" si="18"/>
        <v>1108.1664000000001</v>
      </c>
      <c r="I163" s="299">
        <f t="shared" si="19"/>
        <v>1129.0752</v>
      </c>
      <c r="J163" s="299">
        <f t="shared" si="20"/>
        <v>1149.9839999999999</v>
      </c>
    </row>
    <row r="164" spans="1:10" x14ac:dyDescent="0.2">
      <c r="A164" s="297">
        <v>155</v>
      </c>
      <c r="B164" s="297">
        <v>45</v>
      </c>
      <c r="C164" s="298">
        <v>0.75</v>
      </c>
      <c r="D164" s="298">
        <v>0.79500000000000004</v>
      </c>
      <c r="E164" s="298">
        <v>0.81</v>
      </c>
      <c r="F164" s="298">
        <v>0.82499999999999996</v>
      </c>
      <c r="G164" s="299">
        <f t="shared" si="17"/>
        <v>1054.44</v>
      </c>
      <c r="H164" s="299">
        <f t="shared" si="18"/>
        <v>1117.7064</v>
      </c>
      <c r="I164" s="299">
        <f t="shared" si="19"/>
        <v>1138.7952</v>
      </c>
      <c r="J164" s="299">
        <f t="shared" si="20"/>
        <v>1159.884</v>
      </c>
    </row>
    <row r="165" spans="1:10" x14ac:dyDescent="0.2">
      <c r="A165" s="297">
        <v>156</v>
      </c>
      <c r="B165" s="297">
        <v>46</v>
      </c>
      <c r="C165" s="298">
        <v>0.75</v>
      </c>
      <c r="D165" s="298">
        <v>0.79500000000000004</v>
      </c>
      <c r="E165" s="298">
        <v>0.81</v>
      </c>
      <c r="F165" s="298">
        <v>0.82499999999999996</v>
      </c>
      <c r="G165" s="299">
        <f t="shared" si="17"/>
        <v>1063.44</v>
      </c>
      <c r="H165" s="299">
        <f t="shared" si="18"/>
        <v>1127.2464</v>
      </c>
      <c r="I165" s="299">
        <f t="shared" si="19"/>
        <v>1148.5152</v>
      </c>
      <c r="J165" s="299">
        <f t="shared" si="20"/>
        <v>1169.7840000000001</v>
      </c>
    </row>
    <row r="166" spans="1:10" x14ac:dyDescent="0.2">
      <c r="A166" s="297">
        <v>157</v>
      </c>
      <c r="B166" s="297">
        <v>47</v>
      </c>
      <c r="C166" s="298">
        <v>0.75</v>
      </c>
      <c r="D166" s="298">
        <v>0.79500000000000004</v>
      </c>
      <c r="E166" s="298">
        <v>0.81</v>
      </c>
      <c r="F166" s="298">
        <v>0.82499999999999996</v>
      </c>
      <c r="G166" s="299">
        <f t="shared" si="17"/>
        <v>1072.44</v>
      </c>
      <c r="H166" s="299">
        <f t="shared" si="18"/>
        <v>1136.7864</v>
      </c>
      <c r="I166" s="299">
        <f t="shared" si="19"/>
        <v>1158.2352000000001</v>
      </c>
      <c r="J166" s="299">
        <f t="shared" si="20"/>
        <v>1179.684</v>
      </c>
    </row>
    <row r="167" spans="1:10" x14ac:dyDescent="0.2">
      <c r="A167" s="297">
        <v>158</v>
      </c>
      <c r="B167" s="297">
        <v>48</v>
      </c>
      <c r="C167" s="298">
        <v>0.75</v>
      </c>
      <c r="D167" s="298">
        <v>0.79500000000000004</v>
      </c>
      <c r="E167" s="298">
        <v>0.81</v>
      </c>
      <c r="F167" s="298">
        <v>0.82499999999999996</v>
      </c>
      <c r="G167" s="299">
        <f t="shared" si="17"/>
        <v>1081.44</v>
      </c>
      <c r="H167" s="299">
        <f t="shared" si="18"/>
        <v>1146.3263999999999</v>
      </c>
      <c r="I167" s="299">
        <f t="shared" si="19"/>
        <v>1167.9551999999999</v>
      </c>
      <c r="J167" s="299">
        <f t="shared" si="20"/>
        <v>1189.5839999999998</v>
      </c>
    </row>
    <row r="168" spans="1:10" x14ac:dyDescent="0.2">
      <c r="A168" s="297">
        <v>159</v>
      </c>
      <c r="B168" s="297">
        <v>49</v>
      </c>
      <c r="C168" s="298">
        <v>0.75</v>
      </c>
      <c r="D168" s="298">
        <v>0.79500000000000004</v>
      </c>
      <c r="E168" s="298">
        <v>0.81</v>
      </c>
      <c r="F168" s="298">
        <v>0.82499999999999996</v>
      </c>
      <c r="G168" s="299">
        <f t="shared" si="17"/>
        <v>1090.44</v>
      </c>
      <c r="H168" s="299">
        <f t="shared" si="18"/>
        <v>1155.8663999999999</v>
      </c>
      <c r="I168" s="299">
        <f t="shared" si="19"/>
        <v>1177.6752000000001</v>
      </c>
      <c r="J168" s="299">
        <f t="shared" si="20"/>
        <v>1199.4839999999999</v>
      </c>
    </row>
    <row r="169" spans="1:10" x14ac:dyDescent="0.2">
      <c r="A169" s="297">
        <v>160</v>
      </c>
      <c r="B169" s="297">
        <v>50</v>
      </c>
      <c r="C169" s="298">
        <v>0.75</v>
      </c>
      <c r="D169" s="298">
        <v>0.79500000000000004</v>
      </c>
      <c r="E169" s="298">
        <v>0.81</v>
      </c>
      <c r="F169" s="298">
        <v>0.82499999999999996</v>
      </c>
      <c r="G169" s="299">
        <f t="shared" si="17"/>
        <v>1099.44</v>
      </c>
      <c r="H169" s="299">
        <f t="shared" si="18"/>
        <v>1165.4063999999998</v>
      </c>
      <c r="I169" s="299">
        <f t="shared" si="19"/>
        <v>1187.3951999999999</v>
      </c>
      <c r="J169" s="299">
        <f t="shared" si="20"/>
        <v>1209.384</v>
      </c>
    </row>
    <row r="170" spans="1:10" x14ac:dyDescent="0.2">
      <c r="A170" s="297">
        <v>161</v>
      </c>
      <c r="B170" s="297">
        <v>51</v>
      </c>
      <c r="C170" s="298">
        <v>0.75</v>
      </c>
      <c r="D170" s="298">
        <v>0.79500000000000004</v>
      </c>
      <c r="E170" s="298">
        <v>0.81</v>
      </c>
      <c r="F170" s="298">
        <v>0.82499999999999996</v>
      </c>
      <c r="G170" s="299">
        <f t="shared" si="17"/>
        <v>1108.44</v>
      </c>
      <c r="H170" s="299">
        <f t="shared" si="18"/>
        <v>1174.9464</v>
      </c>
      <c r="I170" s="299">
        <f t="shared" si="19"/>
        <v>1197.1152</v>
      </c>
      <c r="J170" s="299">
        <f t="shared" si="20"/>
        <v>1219.2840000000001</v>
      </c>
    </row>
    <row r="171" spans="1:10" x14ac:dyDescent="0.2">
      <c r="A171" s="297">
        <v>162</v>
      </c>
      <c r="B171" s="297">
        <v>52</v>
      </c>
      <c r="C171" s="298">
        <v>0.75</v>
      </c>
      <c r="D171" s="298">
        <v>0.79500000000000004</v>
      </c>
      <c r="E171" s="298">
        <v>0.81</v>
      </c>
      <c r="F171" s="298">
        <v>0.82499999999999996</v>
      </c>
      <c r="G171" s="299">
        <f t="shared" si="17"/>
        <v>1117.44</v>
      </c>
      <c r="H171" s="299">
        <f t="shared" si="18"/>
        <v>1184.4864</v>
      </c>
      <c r="I171" s="299">
        <f t="shared" si="19"/>
        <v>1206.8352</v>
      </c>
      <c r="J171" s="299">
        <f t="shared" si="20"/>
        <v>1229.184</v>
      </c>
    </row>
    <row r="172" spans="1:10" x14ac:dyDescent="0.2">
      <c r="A172" s="297">
        <v>163</v>
      </c>
      <c r="B172" s="297">
        <v>53</v>
      </c>
      <c r="C172" s="298">
        <v>0.75</v>
      </c>
      <c r="D172" s="298">
        <v>0.79500000000000004</v>
      </c>
      <c r="E172" s="298">
        <v>0.81</v>
      </c>
      <c r="F172" s="298">
        <v>0.82499999999999996</v>
      </c>
      <c r="G172" s="299">
        <f t="shared" si="17"/>
        <v>1126.44</v>
      </c>
      <c r="H172" s="299">
        <f t="shared" si="18"/>
        <v>1194.0264</v>
      </c>
      <c r="I172" s="299">
        <f t="shared" si="19"/>
        <v>1216.5551999999998</v>
      </c>
      <c r="J172" s="299">
        <f t="shared" si="20"/>
        <v>1239.0839999999998</v>
      </c>
    </row>
    <row r="173" spans="1:10" x14ac:dyDescent="0.2">
      <c r="A173" s="297">
        <v>164</v>
      </c>
      <c r="B173" s="297">
        <v>54</v>
      </c>
      <c r="C173" s="298">
        <v>0.75</v>
      </c>
      <c r="D173" s="298">
        <v>0.79500000000000004</v>
      </c>
      <c r="E173" s="298">
        <v>0.81</v>
      </c>
      <c r="F173" s="298">
        <v>0.82499999999999996</v>
      </c>
      <c r="G173" s="299">
        <f t="shared" si="17"/>
        <v>1135.44</v>
      </c>
      <c r="H173" s="299">
        <f t="shared" si="18"/>
        <v>1203.5663999999999</v>
      </c>
      <c r="I173" s="299">
        <f t="shared" si="19"/>
        <v>1226.2752</v>
      </c>
      <c r="J173" s="299">
        <f t="shared" si="20"/>
        <v>1248.9839999999999</v>
      </c>
    </row>
    <row r="174" spans="1:10" x14ac:dyDescent="0.2">
      <c r="A174" s="297">
        <v>165</v>
      </c>
      <c r="B174" s="297">
        <v>55</v>
      </c>
      <c r="C174" s="298">
        <v>0.75</v>
      </c>
      <c r="D174" s="298">
        <v>0.79500000000000004</v>
      </c>
      <c r="E174" s="298">
        <v>0.81</v>
      </c>
      <c r="F174" s="298">
        <v>0.82499999999999996</v>
      </c>
      <c r="G174" s="299">
        <f t="shared" si="17"/>
        <v>1144.44</v>
      </c>
      <c r="H174" s="299">
        <f t="shared" si="18"/>
        <v>1213.1064000000001</v>
      </c>
      <c r="I174" s="299">
        <f t="shared" si="19"/>
        <v>1235.9951999999998</v>
      </c>
      <c r="J174" s="299">
        <f t="shared" si="20"/>
        <v>1258.884</v>
      </c>
    </row>
    <row r="175" spans="1:10" x14ac:dyDescent="0.2">
      <c r="A175" s="297">
        <v>166</v>
      </c>
      <c r="B175" s="297">
        <v>56</v>
      </c>
      <c r="C175" s="298">
        <v>0.75</v>
      </c>
      <c r="D175" s="298">
        <v>0.79500000000000004</v>
      </c>
      <c r="E175" s="298">
        <v>0.81</v>
      </c>
      <c r="F175" s="298">
        <v>0.82499999999999996</v>
      </c>
      <c r="G175" s="299">
        <f t="shared" si="17"/>
        <v>1153.44</v>
      </c>
      <c r="H175" s="299">
        <f t="shared" si="18"/>
        <v>1222.6464000000001</v>
      </c>
      <c r="I175" s="299">
        <f t="shared" si="19"/>
        <v>1245.7151999999999</v>
      </c>
      <c r="J175" s="299">
        <f t="shared" si="20"/>
        <v>1268.7840000000001</v>
      </c>
    </row>
    <row r="176" spans="1:10" x14ac:dyDescent="0.2">
      <c r="A176" s="297">
        <v>167</v>
      </c>
      <c r="B176" s="297">
        <v>57</v>
      </c>
      <c r="C176" s="298">
        <v>0.75</v>
      </c>
      <c r="D176" s="298">
        <v>0.79500000000000004</v>
      </c>
      <c r="E176" s="298">
        <v>0.81</v>
      </c>
      <c r="F176" s="298">
        <v>0.82499999999999996</v>
      </c>
      <c r="G176" s="299">
        <f t="shared" si="17"/>
        <v>1162.44</v>
      </c>
      <c r="H176" s="299">
        <f t="shared" si="18"/>
        <v>1232.1864</v>
      </c>
      <c r="I176" s="299">
        <f t="shared" si="19"/>
        <v>1255.4351999999999</v>
      </c>
      <c r="J176" s="299">
        <f t="shared" si="20"/>
        <v>1278.684</v>
      </c>
    </row>
    <row r="177" spans="1:10" x14ac:dyDescent="0.2">
      <c r="A177" s="297">
        <v>168</v>
      </c>
      <c r="B177" s="297">
        <v>58</v>
      </c>
      <c r="C177" s="298">
        <v>0.75</v>
      </c>
      <c r="D177" s="298">
        <v>0.79500000000000004</v>
      </c>
      <c r="E177" s="298">
        <v>0.81</v>
      </c>
      <c r="F177" s="298">
        <v>0.82499999999999996</v>
      </c>
      <c r="G177" s="299">
        <f t="shared" si="17"/>
        <v>1171.44</v>
      </c>
      <c r="H177" s="299">
        <f t="shared" si="18"/>
        <v>1241.7264</v>
      </c>
      <c r="I177" s="299">
        <f t="shared" si="19"/>
        <v>1265.1551999999999</v>
      </c>
      <c r="J177" s="299">
        <f t="shared" si="20"/>
        <v>1288.5839999999998</v>
      </c>
    </row>
    <row r="178" spans="1:10" x14ac:dyDescent="0.2">
      <c r="A178" s="297">
        <v>169</v>
      </c>
      <c r="B178" s="297">
        <v>59</v>
      </c>
      <c r="C178" s="298">
        <v>0.75</v>
      </c>
      <c r="D178" s="298">
        <v>0.79500000000000004</v>
      </c>
      <c r="E178" s="298">
        <v>0.81</v>
      </c>
      <c r="F178" s="298">
        <v>0.82499999999999996</v>
      </c>
      <c r="G178" s="299">
        <f t="shared" si="17"/>
        <v>1180.44</v>
      </c>
      <c r="H178" s="299">
        <f t="shared" si="18"/>
        <v>1251.2664</v>
      </c>
      <c r="I178" s="299">
        <f t="shared" si="19"/>
        <v>1274.8751999999999</v>
      </c>
      <c r="J178" s="299">
        <f t="shared" si="20"/>
        <v>1298.4839999999999</v>
      </c>
    </row>
    <row r="179" spans="1:10" x14ac:dyDescent="0.2">
      <c r="A179" s="297">
        <v>170</v>
      </c>
      <c r="B179" s="297">
        <v>60</v>
      </c>
      <c r="C179" s="298">
        <v>0.75</v>
      </c>
      <c r="D179" s="298">
        <v>0.79500000000000004</v>
      </c>
      <c r="E179" s="298">
        <v>0.81</v>
      </c>
      <c r="F179" s="298">
        <v>0.82499999999999996</v>
      </c>
      <c r="G179" s="299">
        <f t="shared" si="17"/>
        <v>1189.44</v>
      </c>
      <c r="H179" s="299">
        <f t="shared" si="18"/>
        <v>1260.8063999999999</v>
      </c>
      <c r="I179" s="299">
        <f t="shared" si="19"/>
        <v>1284.5952</v>
      </c>
      <c r="J179" s="299">
        <f t="shared" si="20"/>
        <v>1308.384</v>
      </c>
    </row>
    <row r="180" spans="1:10" x14ac:dyDescent="0.2">
      <c r="A180" s="297">
        <v>171</v>
      </c>
      <c r="B180" s="297">
        <v>61</v>
      </c>
      <c r="C180" s="298">
        <v>0.75</v>
      </c>
      <c r="D180" s="298">
        <v>0.79500000000000004</v>
      </c>
      <c r="E180" s="298">
        <v>0.81</v>
      </c>
      <c r="F180" s="298">
        <v>0.82499999999999996</v>
      </c>
      <c r="G180" s="299">
        <f t="shared" si="17"/>
        <v>1198.44</v>
      </c>
      <c r="H180" s="299">
        <f t="shared" si="18"/>
        <v>1270.3463999999999</v>
      </c>
      <c r="I180" s="299">
        <f t="shared" si="19"/>
        <v>1294.3152</v>
      </c>
      <c r="J180" s="299">
        <f t="shared" si="20"/>
        <v>1318.2840000000001</v>
      </c>
    </row>
    <row r="181" spans="1:10" x14ac:dyDescent="0.2">
      <c r="A181" s="297">
        <v>172</v>
      </c>
      <c r="B181" s="297">
        <v>62</v>
      </c>
      <c r="C181" s="298">
        <v>0.75</v>
      </c>
      <c r="D181" s="298">
        <v>0.79500000000000004</v>
      </c>
      <c r="E181" s="298">
        <v>0.81</v>
      </c>
      <c r="F181" s="298">
        <v>0.82499999999999996</v>
      </c>
      <c r="G181" s="299">
        <f t="shared" si="17"/>
        <v>1207.44</v>
      </c>
      <c r="H181" s="299">
        <f t="shared" si="18"/>
        <v>1279.8863999999999</v>
      </c>
      <c r="I181" s="299">
        <f t="shared" si="19"/>
        <v>1304.0352</v>
      </c>
      <c r="J181" s="299">
        <f t="shared" si="20"/>
        <v>1328.184</v>
      </c>
    </row>
    <row r="182" spans="1:10" x14ac:dyDescent="0.2">
      <c r="A182" s="297">
        <v>173</v>
      </c>
      <c r="B182" s="297">
        <v>63</v>
      </c>
      <c r="C182" s="298">
        <v>0.75</v>
      </c>
      <c r="D182" s="298">
        <v>0.79500000000000004</v>
      </c>
      <c r="E182" s="298">
        <v>0.81</v>
      </c>
      <c r="F182" s="298">
        <v>0.82499999999999996</v>
      </c>
      <c r="G182" s="299">
        <f t="shared" si="17"/>
        <v>1216.44</v>
      </c>
      <c r="H182" s="299">
        <f t="shared" si="18"/>
        <v>1289.4263999999998</v>
      </c>
      <c r="I182" s="299">
        <f t="shared" si="19"/>
        <v>1313.7552000000001</v>
      </c>
      <c r="J182" s="299">
        <f t="shared" si="20"/>
        <v>1338.0839999999998</v>
      </c>
    </row>
    <row r="183" spans="1:10" x14ac:dyDescent="0.2">
      <c r="A183" s="297">
        <v>174</v>
      </c>
      <c r="B183" s="297">
        <v>64</v>
      </c>
      <c r="C183" s="298">
        <v>0.75</v>
      </c>
      <c r="D183" s="298">
        <v>0.79500000000000004</v>
      </c>
      <c r="E183" s="298">
        <v>0.81</v>
      </c>
      <c r="F183" s="298">
        <v>0.82499999999999996</v>
      </c>
      <c r="G183" s="299">
        <f t="shared" si="17"/>
        <v>1225.44</v>
      </c>
      <c r="H183" s="299">
        <f t="shared" si="18"/>
        <v>1298.9664</v>
      </c>
      <c r="I183" s="299">
        <f t="shared" si="19"/>
        <v>1323.4751999999999</v>
      </c>
      <c r="J183" s="299">
        <f t="shared" si="20"/>
        <v>1347.9839999999999</v>
      </c>
    </row>
    <row r="184" spans="1:10" x14ac:dyDescent="0.2">
      <c r="A184" s="297">
        <v>175</v>
      </c>
      <c r="B184" s="297">
        <v>65</v>
      </c>
      <c r="C184" s="298">
        <v>0.75</v>
      </c>
      <c r="D184" s="298">
        <v>0.79500000000000004</v>
      </c>
      <c r="E184" s="298">
        <v>0.81</v>
      </c>
      <c r="F184" s="298">
        <v>0.82499999999999996</v>
      </c>
      <c r="G184" s="299">
        <f t="shared" si="17"/>
        <v>1234.44</v>
      </c>
      <c r="H184" s="299">
        <f t="shared" si="18"/>
        <v>1308.5064</v>
      </c>
      <c r="I184" s="299">
        <f t="shared" si="19"/>
        <v>1333.1952000000001</v>
      </c>
      <c r="J184" s="299">
        <f t="shared" si="20"/>
        <v>1357.884</v>
      </c>
    </row>
    <row r="185" spans="1:10" x14ac:dyDescent="0.2">
      <c r="A185" s="297">
        <v>176</v>
      </c>
      <c r="B185" s="297">
        <v>66</v>
      </c>
      <c r="C185" s="298">
        <v>0.75</v>
      </c>
      <c r="D185" s="298">
        <v>0.79500000000000004</v>
      </c>
      <c r="E185" s="298">
        <v>0.81</v>
      </c>
      <c r="F185" s="298">
        <v>0.82499999999999996</v>
      </c>
      <c r="G185" s="299">
        <f t="shared" ref="G185:G248" si="21">G$119+$B185*C185*12</f>
        <v>1243.44</v>
      </c>
      <c r="H185" s="299">
        <f t="shared" si="18"/>
        <v>1318.0464000000002</v>
      </c>
      <c r="I185" s="299">
        <f t="shared" si="19"/>
        <v>1342.9151999999999</v>
      </c>
      <c r="J185" s="299">
        <f t="shared" si="20"/>
        <v>1367.7840000000001</v>
      </c>
    </row>
    <row r="186" spans="1:10" x14ac:dyDescent="0.2">
      <c r="A186" s="297">
        <v>177</v>
      </c>
      <c r="B186" s="297">
        <v>67</v>
      </c>
      <c r="C186" s="298">
        <v>0.75</v>
      </c>
      <c r="D186" s="298">
        <v>0.79500000000000004</v>
      </c>
      <c r="E186" s="298">
        <v>0.81</v>
      </c>
      <c r="F186" s="298">
        <v>0.82499999999999996</v>
      </c>
      <c r="G186" s="299">
        <f t="shared" si="21"/>
        <v>1252.44</v>
      </c>
      <c r="H186" s="299">
        <f t="shared" si="18"/>
        <v>1327.5864000000001</v>
      </c>
      <c r="I186" s="299">
        <f t="shared" si="19"/>
        <v>1352.6351999999999</v>
      </c>
      <c r="J186" s="299">
        <f t="shared" si="20"/>
        <v>1377.684</v>
      </c>
    </row>
    <row r="187" spans="1:10" x14ac:dyDescent="0.2">
      <c r="A187" s="297">
        <v>178</v>
      </c>
      <c r="B187" s="297">
        <v>68</v>
      </c>
      <c r="C187" s="298">
        <v>0.75</v>
      </c>
      <c r="D187" s="298">
        <v>0.79500000000000004</v>
      </c>
      <c r="E187" s="298">
        <v>0.81</v>
      </c>
      <c r="F187" s="298">
        <v>0.82499999999999996</v>
      </c>
      <c r="G187" s="299">
        <f t="shared" si="21"/>
        <v>1261.44</v>
      </c>
      <c r="H187" s="299">
        <f t="shared" si="18"/>
        <v>1337.1264000000001</v>
      </c>
      <c r="I187" s="299">
        <f t="shared" si="19"/>
        <v>1362.3552</v>
      </c>
      <c r="J187" s="299">
        <f t="shared" si="20"/>
        <v>1387.5839999999998</v>
      </c>
    </row>
    <row r="188" spans="1:10" x14ac:dyDescent="0.2">
      <c r="A188" s="297">
        <v>179</v>
      </c>
      <c r="B188" s="297">
        <v>69</v>
      </c>
      <c r="C188" s="298">
        <v>0.75</v>
      </c>
      <c r="D188" s="298">
        <v>0.79500000000000004</v>
      </c>
      <c r="E188" s="298">
        <v>0.81</v>
      </c>
      <c r="F188" s="298">
        <v>0.82499999999999996</v>
      </c>
      <c r="G188" s="299">
        <f t="shared" si="21"/>
        <v>1270.44</v>
      </c>
      <c r="H188" s="299">
        <f t="shared" si="18"/>
        <v>1346.6664000000001</v>
      </c>
      <c r="I188" s="299">
        <f t="shared" si="19"/>
        <v>1372.0752</v>
      </c>
      <c r="J188" s="299">
        <f t="shared" si="20"/>
        <v>1397.4839999999999</v>
      </c>
    </row>
    <row r="189" spans="1:10" x14ac:dyDescent="0.2">
      <c r="A189" s="297">
        <v>180</v>
      </c>
      <c r="B189" s="297">
        <v>70</v>
      </c>
      <c r="C189" s="298">
        <v>0.75</v>
      </c>
      <c r="D189" s="298">
        <v>0.79500000000000004</v>
      </c>
      <c r="E189" s="298">
        <v>0.81</v>
      </c>
      <c r="F189" s="298">
        <v>0.82499999999999996</v>
      </c>
      <c r="G189" s="299">
        <f t="shared" si="21"/>
        <v>1279.44</v>
      </c>
      <c r="H189" s="299">
        <f t="shared" si="18"/>
        <v>1356.2064</v>
      </c>
      <c r="I189" s="299">
        <f t="shared" si="19"/>
        <v>1381.7952</v>
      </c>
      <c r="J189" s="299">
        <f t="shared" si="20"/>
        <v>1407.384</v>
      </c>
    </row>
    <row r="190" spans="1:10" x14ac:dyDescent="0.2">
      <c r="A190" s="297">
        <v>181</v>
      </c>
      <c r="B190" s="297">
        <v>71</v>
      </c>
      <c r="C190" s="298">
        <v>0.75</v>
      </c>
      <c r="D190" s="298">
        <v>0.79500000000000004</v>
      </c>
      <c r="E190" s="298">
        <v>0.81</v>
      </c>
      <c r="F190" s="298">
        <v>0.82499999999999996</v>
      </c>
      <c r="G190" s="299">
        <f t="shared" si="21"/>
        <v>1288.44</v>
      </c>
      <c r="H190" s="299">
        <f t="shared" si="18"/>
        <v>1365.7464</v>
      </c>
      <c r="I190" s="299">
        <f t="shared" si="19"/>
        <v>1391.5152</v>
      </c>
      <c r="J190" s="299">
        <f t="shared" si="20"/>
        <v>1417.2840000000001</v>
      </c>
    </row>
    <row r="191" spans="1:10" x14ac:dyDescent="0.2">
      <c r="A191" s="297">
        <v>182</v>
      </c>
      <c r="B191" s="297">
        <v>72</v>
      </c>
      <c r="C191" s="298">
        <v>0.75</v>
      </c>
      <c r="D191" s="298">
        <v>0.79500000000000004</v>
      </c>
      <c r="E191" s="298">
        <v>0.81</v>
      </c>
      <c r="F191" s="298">
        <v>0.82499999999999996</v>
      </c>
      <c r="G191" s="299">
        <f t="shared" si="21"/>
        <v>1297.44</v>
      </c>
      <c r="H191" s="299">
        <f t="shared" si="18"/>
        <v>1375.2864</v>
      </c>
      <c r="I191" s="299">
        <f t="shared" si="19"/>
        <v>1401.2352000000001</v>
      </c>
      <c r="J191" s="299">
        <f t="shared" si="20"/>
        <v>1427.184</v>
      </c>
    </row>
    <row r="192" spans="1:10" x14ac:dyDescent="0.2">
      <c r="A192" s="297">
        <v>183</v>
      </c>
      <c r="B192" s="297">
        <v>73</v>
      </c>
      <c r="C192" s="298">
        <v>0.75</v>
      </c>
      <c r="D192" s="298">
        <v>0.79500000000000004</v>
      </c>
      <c r="E192" s="298">
        <v>0.81</v>
      </c>
      <c r="F192" s="298">
        <v>0.82499999999999996</v>
      </c>
      <c r="G192" s="299">
        <f t="shared" si="21"/>
        <v>1306.44</v>
      </c>
      <c r="H192" s="299">
        <f t="shared" si="18"/>
        <v>1384.8263999999999</v>
      </c>
      <c r="I192" s="299">
        <f t="shared" si="19"/>
        <v>1410.9551999999999</v>
      </c>
      <c r="J192" s="299">
        <f t="shared" si="20"/>
        <v>1437.0839999999998</v>
      </c>
    </row>
    <row r="193" spans="1:10" x14ac:dyDescent="0.2">
      <c r="A193" s="297">
        <v>184</v>
      </c>
      <c r="B193" s="297">
        <v>74</v>
      </c>
      <c r="C193" s="298">
        <v>0.75</v>
      </c>
      <c r="D193" s="298">
        <v>0.79500000000000004</v>
      </c>
      <c r="E193" s="298">
        <v>0.81</v>
      </c>
      <c r="F193" s="298">
        <v>0.82499999999999996</v>
      </c>
      <c r="G193" s="299">
        <f t="shared" si="21"/>
        <v>1315.44</v>
      </c>
      <c r="H193" s="299">
        <f t="shared" si="18"/>
        <v>1394.3663999999999</v>
      </c>
      <c r="I193" s="299">
        <f t="shared" si="19"/>
        <v>1420.6752000000001</v>
      </c>
      <c r="J193" s="299">
        <f t="shared" si="20"/>
        <v>1446.9839999999999</v>
      </c>
    </row>
    <row r="194" spans="1:10" x14ac:dyDescent="0.2">
      <c r="A194" s="297">
        <v>185</v>
      </c>
      <c r="B194" s="297">
        <v>75</v>
      </c>
      <c r="C194" s="298">
        <v>0.75</v>
      </c>
      <c r="D194" s="298">
        <v>0.79500000000000004</v>
      </c>
      <c r="E194" s="298">
        <v>0.81</v>
      </c>
      <c r="F194" s="298">
        <v>0.82499999999999996</v>
      </c>
      <c r="G194" s="299">
        <f t="shared" si="21"/>
        <v>1324.44</v>
      </c>
      <c r="H194" s="299">
        <f t="shared" si="18"/>
        <v>1403.9063999999998</v>
      </c>
      <c r="I194" s="299">
        <f t="shared" si="19"/>
        <v>1430.3951999999999</v>
      </c>
      <c r="J194" s="299">
        <f t="shared" si="20"/>
        <v>1456.884</v>
      </c>
    </row>
    <row r="195" spans="1:10" x14ac:dyDescent="0.2">
      <c r="A195" s="297">
        <v>186</v>
      </c>
      <c r="B195" s="297">
        <v>76</v>
      </c>
      <c r="C195" s="298">
        <v>0.75</v>
      </c>
      <c r="D195" s="298">
        <v>0.79500000000000004</v>
      </c>
      <c r="E195" s="298">
        <v>0.81</v>
      </c>
      <c r="F195" s="298">
        <v>0.82499999999999996</v>
      </c>
      <c r="G195" s="299">
        <f t="shared" si="21"/>
        <v>1333.44</v>
      </c>
      <c r="H195" s="299">
        <f t="shared" si="18"/>
        <v>1413.4463999999998</v>
      </c>
      <c r="I195" s="299">
        <f t="shared" si="19"/>
        <v>1440.1152</v>
      </c>
      <c r="J195" s="299">
        <f t="shared" si="20"/>
        <v>1466.7840000000001</v>
      </c>
    </row>
    <row r="196" spans="1:10" x14ac:dyDescent="0.2">
      <c r="A196" s="297">
        <v>187</v>
      </c>
      <c r="B196" s="297">
        <v>77</v>
      </c>
      <c r="C196" s="298">
        <v>0.75</v>
      </c>
      <c r="D196" s="298">
        <v>0.79500000000000004</v>
      </c>
      <c r="E196" s="298">
        <v>0.81</v>
      </c>
      <c r="F196" s="298">
        <v>0.82499999999999996</v>
      </c>
      <c r="G196" s="299">
        <f t="shared" si="21"/>
        <v>1342.44</v>
      </c>
      <c r="H196" s="299">
        <f t="shared" si="18"/>
        <v>1422.9864</v>
      </c>
      <c r="I196" s="299">
        <f t="shared" si="19"/>
        <v>1449.8352</v>
      </c>
      <c r="J196" s="299">
        <f t="shared" si="20"/>
        <v>1476.684</v>
      </c>
    </row>
    <row r="197" spans="1:10" x14ac:dyDescent="0.2">
      <c r="A197" s="297">
        <v>188</v>
      </c>
      <c r="B197" s="297">
        <v>78</v>
      </c>
      <c r="C197" s="298">
        <v>0.75</v>
      </c>
      <c r="D197" s="298">
        <v>0.79500000000000004</v>
      </c>
      <c r="E197" s="298">
        <v>0.81</v>
      </c>
      <c r="F197" s="298">
        <v>0.82499999999999996</v>
      </c>
      <c r="G197" s="299">
        <f t="shared" si="21"/>
        <v>1351.44</v>
      </c>
      <c r="H197" s="299">
        <f t="shared" si="18"/>
        <v>1432.5264000000002</v>
      </c>
      <c r="I197" s="299">
        <f t="shared" si="19"/>
        <v>1459.5552</v>
      </c>
      <c r="J197" s="299">
        <f t="shared" si="20"/>
        <v>1486.5839999999998</v>
      </c>
    </row>
    <row r="198" spans="1:10" x14ac:dyDescent="0.2">
      <c r="A198" s="297">
        <v>189</v>
      </c>
      <c r="B198" s="297">
        <v>79</v>
      </c>
      <c r="C198" s="298">
        <v>0.75</v>
      </c>
      <c r="D198" s="298">
        <v>0.79500000000000004</v>
      </c>
      <c r="E198" s="298">
        <v>0.81</v>
      </c>
      <c r="F198" s="298">
        <v>0.82499999999999996</v>
      </c>
      <c r="G198" s="299">
        <f t="shared" si="21"/>
        <v>1360.44</v>
      </c>
      <c r="H198" s="299">
        <f t="shared" si="18"/>
        <v>1442.0663999999999</v>
      </c>
      <c r="I198" s="299">
        <f t="shared" si="19"/>
        <v>1469.2752</v>
      </c>
      <c r="J198" s="299">
        <f t="shared" si="20"/>
        <v>1496.4839999999999</v>
      </c>
    </row>
    <row r="199" spans="1:10" x14ac:dyDescent="0.2">
      <c r="A199" s="297">
        <v>190</v>
      </c>
      <c r="B199" s="297">
        <v>80</v>
      </c>
      <c r="C199" s="298">
        <v>0.75</v>
      </c>
      <c r="D199" s="298">
        <v>0.79500000000000004</v>
      </c>
      <c r="E199" s="298">
        <v>0.81</v>
      </c>
      <c r="F199" s="298">
        <v>0.82499999999999996</v>
      </c>
      <c r="G199" s="299">
        <f t="shared" si="21"/>
        <v>1369.44</v>
      </c>
      <c r="H199" s="299">
        <f t="shared" si="18"/>
        <v>1451.6064000000001</v>
      </c>
      <c r="I199" s="299">
        <f t="shared" si="19"/>
        <v>1478.9952000000001</v>
      </c>
      <c r="J199" s="299">
        <f t="shared" si="20"/>
        <v>1506.384</v>
      </c>
    </row>
    <row r="200" spans="1:10" x14ac:dyDescent="0.2">
      <c r="A200" s="297">
        <v>191</v>
      </c>
      <c r="B200" s="297">
        <v>81</v>
      </c>
      <c r="C200" s="298">
        <v>0.75</v>
      </c>
      <c r="D200" s="298">
        <v>0.79500000000000004</v>
      </c>
      <c r="E200" s="298">
        <v>0.81</v>
      </c>
      <c r="F200" s="298">
        <v>0.82499999999999996</v>
      </c>
      <c r="G200" s="299">
        <f t="shared" si="21"/>
        <v>1378.44</v>
      </c>
      <c r="H200" s="299">
        <f t="shared" ref="H200:H263" si="22">H$119+$B200*D200*12</f>
        <v>1461.1464000000001</v>
      </c>
      <c r="I200" s="299">
        <f t="shared" ref="I200:I263" si="23">I$119+$B200*E200*12</f>
        <v>1488.7151999999999</v>
      </c>
      <c r="J200" s="299">
        <f t="shared" ref="J200:J263" si="24">J$119+$B200*F200*12</f>
        <v>1516.2840000000001</v>
      </c>
    </row>
    <row r="201" spans="1:10" x14ac:dyDescent="0.2">
      <c r="A201" s="297">
        <v>192</v>
      </c>
      <c r="B201" s="297">
        <v>82</v>
      </c>
      <c r="C201" s="298">
        <v>0.75</v>
      </c>
      <c r="D201" s="298">
        <v>0.79500000000000004</v>
      </c>
      <c r="E201" s="298">
        <v>0.81</v>
      </c>
      <c r="F201" s="298">
        <v>0.82499999999999996</v>
      </c>
      <c r="G201" s="299">
        <f t="shared" si="21"/>
        <v>1387.44</v>
      </c>
      <c r="H201" s="299">
        <f t="shared" si="22"/>
        <v>1470.6864</v>
      </c>
      <c r="I201" s="299">
        <f t="shared" si="23"/>
        <v>1498.4351999999999</v>
      </c>
      <c r="J201" s="299">
        <f t="shared" si="24"/>
        <v>1526.184</v>
      </c>
    </row>
    <row r="202" spans="1:10" x14ac:dyDescent="0.2">
      <c r="A202" s="297">
        <v>193</v>
      </c>
      <c r="B202" s="297">
        <v>83</v>
      </c>
      <c r="C202" s="298">
        <v>0.75</v>
      </c>
      <c r="D202" s="298">
        <v>0.79500000000000004</v>
      </c>
      <c r="E202" s="298">
        <v>0.81</v>
      </c>
      <c r="F202" s="298">
        <v>0.82499999999999996</v>
      </c>
      <c r="G202" s="299">
        <f t="shared" si="21"/>
        <v>1396.44</v>
      </c>
      <c r="H202" s="299">
        <f t="shared" si="22"/>
        <v>1480.2264</v>
      </c>
      <c r="I202" s="299">
        <f t="shared" si="23"/>
        <v>1508.1551999999999</v>
      </c>
      <c r="J202" s="299">
        <f t="shared" si="24"/>
        <v>1536.0839999999998</v>
      </c>
    </row>
    <row r="203" spans="1:10" x14ac:dyDescent="0.2">
      <c r="A203" s="297">
        <v>194</v>
      </c>
      <c r="B203" s="297">
        <v>84</v>
      </c>
      <c r="C203" s="298">
        <v>0.75</v>
      </c>
      <c r="D203" s="298">
        <v>0.79500000000000004</v>
      </c>
      <c r="E203" s="298">
        <v>0.81</v>
      </c>
      <c r="F203" s="298">
        <v>0.82499999999999996</v>
      </c>
      <c r="G203" s="299">
        <f t="shared" si="21"/>
        <v>1405.44</v>
      </c>
      <c r="H203" s="299">
        <f t="shared" si="22"/>
        <v>1489.7664</v>
      </c>
      <c r="I203" s="299">
        <f t="shared" si="23"/>
        <v>1517.8751999999999</v>
      </c>
      <c r="J203" s="299">
        <f t="shared" si="24"/>
        <v>1545.9839999999999</v>
      </c>
    </row>
    <row r="204" spans="1:10" x14ac:dyDescent="0.2">
      <c r="A204" s="297">
        <v>195</v>
      </c>
      <c r="B204" s="297">
        <v>85</v>
      </c>
      <c r="C204" s="298">
        <v>0.75</v>
      </c>
      <c r="D204" s="298">
        <v>0.79500000000000004</v>
      </c>
      <c r="E204" s="298">
        <v>0.81</v>
      </c>
      <c r="F204" s="298">
        <v>0.82499999999999996</v>
      </c>
      <c r="G204" s="299">
        <f t="shared" si="21"/>
        <v>1414.44</v>
      </c>
      <c r="H204" s="299">
        <f t="shared" si="22"/>
        <v>1499.3063999999999</v>
      </c>
      <c r="I204" s="299">
        <f t="shared" si="23"/>
        <v>1527.5952</v>
      </c>
      <c r="J204" s="299">
        <f t="shared" si="24"/>
        <v>1555.884</v>
      </c>
    </row>
    <row r="205" spans="1:10" x14ac:dyDescent="0.2">
      <c r="A205" s="297">
        <v>196</v>
      </c>
      <c r="B205" s="297">
        <v>86</v>
      </c>
      <c r="C205" s="298">
        <v>0.75</v>
      </c>
      <c r="D205" s="298">
        <v>0.79500000000000004</v>
      </c>
      <c r="E205" s="298">
        <v>0.81</v>
      </c>
      <c r="F205" s="298">
        <v>0.82499999999999996</v>
      </c>
      <c r="G205" s="299">
        <f t="shared" si="21"/>
        <v>1423.44</v>
      </c>
      <c r="H205" s="299">
        <f t="shared" si="22"/>
        <v>1508.8463999999999</v>
      </c>
      <c r="I205" s="299">
        <f t="shared" si="23"/>
        <v>1537.3152</v>
      </c>
      <c r="J205" s="299">
        <f t="shared" si="24"/>
        <v>1565.7840000000001</v>
      </c>
    </row>
    <row r="206" spans="1:10" x14ac:dyDescent="0.2">
      <c r="A206" s="297">
        <v>197</v>
      </c>
      <c r="B206" s="297">
        <v>87</v>
      </c>
      <c r="C206" s="298">
        <v>0.75</v>
      </c>
      <c r="D206" s="298">
        <v>0.79500000000000004</v>
      </c>
      <c r="E206" s="298">
        <v>0.81</v>
      </c>
      <c r="F206" s="298">
        <v>0.82499999999999996</v>
      </c>
      <c r="G206" s="299">
        <f t="shared" si="21"/>
        <v>1432.44</v>
      </c>
      <c r="H206" s="299">
        <f t="shared" si="22"/>
        <v>1518.3863999999999</v>
      </c>
      <c r="I206" s="299">
        <f t="shared" si="23"/>
        <v>1547.0351999999998</v>
      </c>
      <c r="J206" s="299">
        <f t="shared" si="24"/>
        <v>1575.684</v>
      </c>
    </row>
    <row r="207" spans="1:10" x14ac:dyDescent="0.2">
      <c r="A207" s="297">
        <v>198</v>
      </c>
      <c r="B207" s="297">
        <v>88</v>
      </c>
      <c r="C207" s="298">
        <v>0.75</v>
      </c>
      <c r="D207" s="298">
        <v>0.79500000000000004</v>
      </c>
      <c r="E207" s="298">
        <v>0.81</v>
      </c>
      <c r="F207" s="298">
        <v>0.82499999999999996</v>
      </c>
      <c r="G207" s="299">
        <f t="shared" si="21"/>
        <v>1441.44</v>
      </c>
      <c r="H207" s="299">
        <f t="shared" si="22"/>
        <v>1527.9264000000001</v>
      </c>
      <c r="I207" s="299">
        <f t="shared" si="23"/>
        <v>1556.7552000000001</v>
      </c>
      <c r="J207" s="299">
        <f t="shared" si="24"/>
        <v>1585.5839999999998</v>
      </c>
    </row>
    <row r="208" spans="1:10" x14ac:dyDescent="0.2">
      <c r="A208" s="297">
        <v>199</v>
      </c>
      <c r="B208" s="297">
        <v>89</v>
      </c>
      <c r="C208" s="298">
        <v>0.75</v>
      </c>
      <c r="D208" s="298">
        <v>0.79500000000000004</v>
      </c>
      <c r="E208" s="298">
        <v>0.81</v>
      </c>
      <c r="F208" s="298">
        <v>0.82499999999999996</v>
      </c>
      <c r="G208" s="299">
        <f t="shared" si="21"/>
        <v>1450.44</v>
      </c>
      <c r="H208" s="299">
        <f t="shared" si="22"/>
        <v>1537.4664000000002</v>
      </c>
      <c r="I208" s="299">
        <f t="shared" si="23"/>
        <v>1566.4751999999999</v>
      </c>
      <c r="J208" s="299">
        <f t="shared" si="24"/>
        <v>1595.4839999999999</v>
      </c>
    </row>
    <row r="209" spans="1:10" x14ac:dyDescent="0.2">
      <c r="A209" s="297">
        <v>200</v>
      </c>
      <c r="B209" s="297">
        <v>90</v>
      </c>
      <c r="C209" s="298">
        <v>0.75</v>
      </c>
      <c r="D209" s="298">
        <v>0.79500000000000004</v>
      </c>
      <c r="E209" s="298">
        <v>0.81</v>
      </c>
      <c r="F209" s="298">
        <v>0.82499999999999996</v>
      </c>
      <c r="G209" s="299">
        <f t="shared" si="21"/>
        <v>1459.44</v>
      </c>
      <c r="H209" s="299">
        <f t="shared" si="22"/>
        <v>1547.0063999999998</v>
      </c>
      <c r="I209" s="299">
        <f t="shared" si="23"/>
        <v>1576.1952000000001</v>
      </c>
      <c r="J209" s="299">
        <f t="shared" si="24"/>
        <v>1605.384</v>
      </c>
    </row>
    <row r="210" spans="1:10" x14ac:dyDescent="0.2">
      <c r="A210" s="297">
        <v>201</v>
      </c>
      <c r="B210" s="297">
        <v>91</v>
      </c>
      <c r="C210" s="298">
        <v>0.75</v>
      </c>
      <c r="D210" s="298">
        <v>0.79500000000000004</v>
      </c>
      <c r="E210" s="298">
        <v>0.81</v>
      </c>
      <c r="F210" s="298">
        <v>0.82499999999999996</v>
      </c>
      <c r="G210" s="299">
        <f t="shared" si="21"/>
        <v>1468.44</v>
      </c>
      <c r="H210" s="299">
        <f t="shared" si="22"/>
        <v>1556.5463999999999</v>
      </c>
      <c r="I210" s="299">
        <f t="shared" si="23"/>
        <v>1585.9151999999999</v>
      </c>
      <c r="J210" s="299">
        <f t="shared" si="24"/>
        <v>1615.2840000000001</v>
      </c>
    </row>
    <row r="211" spans="1:10" x14ac:dyDescent="0.2">
      <c r="A211" s="297">
        <v>202</v>
      </c>
      <c r="B211" s="297">
        <v>92</v>
      </c>
      <c r="C211" s="298">
        <v>0.75</v>
      </c>
      <c r="D211" s="298">
        <v>0.79500000000000004</v>
      </c>
      <c r="E211" s="298">
        <v>0.81</v>
      </c>
      <c r="F211" s="298">
        <v>0.82499999999999996</v>
      </c>
      <c r="G211" s="299">
        <f t="shared" si="21"/>
        <v>1477.44</v>
      </c>
      <c r="H211" s="299">
        <f t="shared" si="22"/>
        <v>1566.0864000000001</v>
      </c>
      <c r="I211" s="299">
        <f t="shared" si="23"/>
        <v>1595.6352000000002</v>
      </c>
      <c r="J211" s="299">
        <f t="shared" si="24"/>
        <v>1625.184</v>
      </c>
    </row>
    <row r="212" spans="1:10" x14ac:dyDescent="0.2">
      <c r="A212" s="297">
        <v>203</v>
      </c>
      <c r="B212" s="297">
        <v>93</v>
      </c>
      <c r="C212" s="298">
        <v>0.75</v>
      </c>
      <c r="D212" s="298">
        <v>0.79500000000000004</v>
      </c>
      <c r="E212" s="298">
        <v>0.81</v>
      </c>
      <c r="F212" s="298">
        <v>0.82499999999999996</v>
      </c>
      <c r="G212" s="299">
        <f t="shared" si="21"/>
        <v>1486.44</v>
      </c>
      <c r="H212" s="299">
        <f t="shared" si="22"/>
        <v>1575.6264000000001</v>
      </c>
      <c r="I212" s="299">
        <f t="shared" si="23"/>
        <v>1605.3552</v>
      </c>
      <c r="J212" s="299">
        <f t="shared" si="24"/>
        <v>1635.0839999999998</v>
      </c>
    </row>
    <row r="213" spans="1:10" x14ac:dyDescent="0.2">
      <c r="A213" s="297">
        <v>204</v>
      </c>
      <c r="B213" s="297">
        <v>94</v>
      </c>
      <c r="C213" s="298">
        <v>0.75</v>
      </c>
      <c r="D213" s="298">
        <v>0.79500000000000004</v>
      </c>
      <c r="E213" s="298">
        <v>0.81</v>
      </c>
      <c r="F213" s="298">
        <v>0.82499999999999996</v>
      </c>
      <c r="G213" s="299">
        <f t="shared" si="21"/>
        <v>1495.44</v>
      </c>
      <c r="H213" s="299">
        <f t="shared" si="22"/>
        <v>1585.1664000000001</v>
      </c>
      <c r="I213" s="299">
        <f t="shared" si="23"/>
        <v>1615.0752</v>
      </c>
      <c r="J213" s="299">
        <f t="shared" si="24"/>
        <v>1644.9839999999999</v>
      </c>
    </row>
    <row r="214" spans="1:10" x14ac:dyDescent="0.2">
      <c r="A214" s="297">
        <v>205</v>
      </c>
      <c r="B214" s="297">
        <v>95</v>
      </c>
      <c r="C214" s="298">
        <v>0.75</v>
      </c>
      <c r="D214" s="298">
        <v>0.79500000000000004</v>
      </c>
      <c r="E214" s="298">
        <v>0.81</v>
      </c>
      <c r="F214" s="298">
        <v>0.82499999999999996</v>
      </c>
      <c r="G214" s="299">
        <f t="shared" si="21"/>
        <v>1504.44</v>
      </c>
      <c r="H214" s="299">
        <f t="shared" si="22"/>
        <v>1594.7064</v>
      </c>
      <c r="I214" s="299">
        <f t="shared" si="23"/>
        <v>1624.7952</v>
      </c>
      <c r="J214" s="299">
        <f t="shared" si="24"/>
        <v>1654.884</v>
      </c>
    </row>
    <row r="215" spans="1:10" x14ac:dyDescent="0.2">
      <c r="A215" s="297">
        <v>206</v>
      </c>
      <c r="B215" s="297">
        <v>96</v>
      </c>
      <c r="C215" s="298">
        <v>0.75</v>
      </c>
      <c r="D215" s="298">
        <v>0.79500000000000004</v>
      </c>
      <c r="E215" s="298">
        <v>0.81</v>
      </c>
      <c r="F215" s="298">
        <v>0.82499999999999996</v>
      </c>
      <c r="G215" s="299">
        <f t="shared" si="21"/>
        <v>1513.44</v>
      </c>
      <c r="H215" s="299">
        <f t="shared" si="22"/>
        <v>1604.2464</v>
      </c>
      <c r="I215" s="299">
        <f t="shared" si="23"/>
        <v>1634.5152</v>
      </c>
      <c r="J215" s="299">
        <f t="shared" si="24"/>
        <v>1664.7839999999999</v>
      </c>
    </row>
    <row r="216" spans="1:10" x14ac:dyDescent="0.2">
      <c r="A216" s="297">
        <v>207</v>
      </c>
      <c r="B216" s="297">
        <v>97</v>
      </c>
      <c r="C216" s="298">
        <v>0.75</v>
      </c>
      <c r="D216" s="298">
        <v>0.79500000000000004</v>
      </c>
      <c r="E216" s="298">
        <v>0.81</v>
      </c>
      <c r="F216" s="298">
        <v>0.82499999999999996</v>
      </c>
      <c r="G216" s="299">
        <f t="shared" si="21"/>
        <v>1522.44</v>
      </c>
      <c r="H216" s="299">
        <f t="shared" si="22"/>
        <v>1613.7864</v>
      </c>
      <c r="I216" s="299">
        <f t="shared" si="23"/>
        <v>1644.2352000000001</v>
      </c>
      <c r="J216" s="299">
        <f t="shared" si="24"/>
        <v>1674.684</v>
      </c>
    </row>
    <row r="217" spans="1:10" x14ac:dyDescent="0.2">
      <c r="A217" s="297">
        <v>208</v>
      </c>
      <c r="B217" s="297">
        <v>98</v>
      </c>
      <c r="C217" s="298">
        <v>0.75</v>
      </c>
      <c r="D217" s="298">
        <v>0.79500000000000004</v>
      </c>
      <c r="E217" s="298">
        <v>0.81</v>
      </c>
      <c r="F217" s="298">
        <v>0.82499999999999996</v>
      </c>
      <c r="G217" s="299">
        <f t="shared" si="21"/>
        <v>1531.44</v>
      </c>
      <c r="H217" s="299">
        <f t="shared" si="22"/>
        <v>1623.3263999999999</v>
      </c>
      <c r="I217" s="299">
        <f t="shared" si="23"/>
        <v>1653.9552000000001</v>
      </c>
      <c r="J217" s="299">
        <f t="shared" si="24"/>
        <v>1684.5839999999998</v>
      </c>
    </row>
    <row r="218" spans="1:10" x14ac:dyDescent="0.2">
      <c r="A218" s="297">
        <v>209</v>
      </c>
      <c r="B218" s="297">
        <v>99</v>
      </c>
      <c r="C218" s="298">
        <v>0.75</v>
      </c>
      <c r="D218" s="298">
        <v>0.79500000000000004</v>
      </c>
      <c r="E218" s="298">
        <v>0.81</v>
      </c>
      <c r="F218" s="298">
        <v>0.82499999999999996</v>
      </c>
      <c r="G218" s="299">
        <f t="shared" si="21"/>
        <v>1540.44</v>
      </c>
      <c r="H218" s="299">
        <f t="shared" si="22"/>
        <v>1632.8663999999999</v>
      </c>
      <c r="I218" s="299">
        <f t="shared" si="23"/>
        <v>1663.6752000000001</v>
      </c>
      <c r="J218" s="299">
        <f t="shared" si="24"/>
        <v>1694.4839999999999</v>
      </c>
    </row>
    <row r="219" spans="1:10" x14ac:dyDescent="0.2">
      <c r="A219" s="297">
        <v>210</v>
      </c>
      <c r="B219" s="297">
        <v>100</v>
      </c>
      <c r="C219" s="298">
        <v>0.75</v>
      </c>
      <c r="D219" s="298">
        <v>0.79500000000000004</v>
      </c>
      <c r="E219" s="298">
        <v>0.81</v>
      </c>
      <c r="F219" s="298">
        <v>0.82499999999999996</v>
      </c>
      <c r="G219" s="299">
        <f t="shared" si="21"/>
        <v>1549.44</v>
      </c>
      <c r="H219" s="299">
        <f t="shared" si="22"/>
        <v>1642.4063999999998</v>
      </c>
      <c r="I219" s="299">
        <f t="shared" si="23"/>
        <v>1673.3951999999999</v>
      </c>
      <c r="J219" s="299">
        <f t="shared" si="24"/>
        <v>1704.384</v>
      </c>
    </row>
    <row r="220" spans="1:10" x14ac:dyDescent="0.2">
      <c r="A220" s="297">
        <v>211</v>
      </c>
      <c r="B220" s="297">
        <v>101</v>
      </c>
      <c r="C220" s="298">
        <v>0.75</v>
      </c>
      <c r="D220" s="298">
        <v>0.79500000000000004</v>
      </c>
      <c r="E220" s="298">
        <v>0.81</v>
      </c>
      <c r="F220" s="298">
        <v>0.82499999999999996</v>
      </c>
      <c r="G220" s="299">
        <f t="shared" si="21"/>
        <v>1558.44</v>
      </c>
      <c r="H220" s="299">
        <f t="shared" si="22"/>
        <v>1651.9463999999998</v>
      </c>
      <c r="I220" s="299">
        <f t="shared" si="23"/>
        <v>1683.1152</v>
      </c>
      <c r="J220" s="299">
        <f t="shared" si="24"/>
        <v>1714.2839999999999</v>
      </c>
    </row>
    <row r="221" spans="1:10" x14ac:dyDescent="0.2">
      <c r="A221" s="297">
        <v>212</v>
      </c>
      <c r="B221" s="297">
        <v>102</v>
      </c>
      <c r="C221" s="298">
        <v>0.75</v>
      </c>
      <c r="D221" s="298">
        <v>0.79500000000000004</v>
      </c>
      <c r="E221" s="298">
        <v>0.81</v>
      </c>
      <c r="F221" s="298">
        <v>0.82499999999999996</v>
      </c>
      <c r="G221" s="299">
        <f t="shared" si="21"/>
        <v>1567.44</v>
      </c>
      <c r="H221" s="299">
        <f t="shared" si="22"/>
        <v>1661.4864</v>
      </c>
      <c r="I221" s="299">
        <f t="shared" si="23"/>
        <v>1692.8352</v>
      </c>
      <c r="J221" s="299">
        <f t="shared" si="24"/>
        <v>1724.184</v>
      </c>
    </row>
    <row r="222" spans="1:10" x14ac:dyDescent="0.2">
      <c r="A222" s="297">
        <v>213</v>
      </c>
      <c r="B222" s="297">
        <v>103</v>
      </c>
      <c r="C222" s="298">
        <v>0.75</v>
      </c>
      <c r="D222" s="298">
        <v>0.79500000000000004</v>
      </c>
      <c r="E222" s="298">
        <v>0.81</v>
      </c>
      <c r="F222" s="298">
        <v>0.82499999999999996</v>
      </c>
      <c r="G222" s="299">
        <f t="shared" si="21"/>
        <v>1576.44</v>
      </c>
      <c r="H222" s="299">
        <f t="shared" si="22"/>
        <v>1671.0264000000002</v>
      </c>
      <c r="I222" s="299">
        <f t="shared" si="23"/>
        <v>1702.5552</v>
      </c>
      <c r="J222" s="299">
        <f t="shared" si="24"/>
        <v>1734.0839999999998</v>
      </c>
    </row>
    <row r="223" spans="1:10" x14ac:dyDescent="0.2">
      <c r="A223" s="297">
        <v>214</v>
      </c>
      <c r="B223" s="297">
        <v>104</v>
      </c>
      <c r="C223" s="298">
        <v>0.75</v>
      </c>
      <c r="D223" s="298">
        <v>0.79500000000000004</v>
      </c>
      <c r="E223" s="298">
        <v>0.81</v>
      </c>
      <c r="F223" s="298">
        <v>0.82499999999999996</v>
      </c>
      <c r="G223" s="299">
        <f t="shared" si="21"/>
        <v>1585.44</v>
      </c>
      <c r="H223" s="299">
        <f t="shared" si="22"/>
        <v>1680.5664000000002</v>
      </c>
      <c r="I223" s="299">
        <f t="shared" si="23"/>
        <v>1712.2752</v>
      </c>
      <c r="J223" s="299">
        <f t="shared" si="24"/>
        <v>1743.9839999999999</v>
      </c>
    </row>
    <row r="224" spans="1:10" x14ac:dyDescent="0.2">
      <c r="A224" s="297">
        <v>215</v>
      </c>
      <c r="B224" s="297">
        <v>105</v>
      </c>
      <c r="C224" s="298">
        <v>0.75</v>
      </c>
      <c r="D224" s="298">
        <v>0.79500000000000004</v>
      </c>
      <c r="E224" s="298">
        <v>0.81</v>
      </c>
      <c r="F224" s="298">
        <v>0.82499999999999996</v>
      </c>
      <c r="G224" s="299">
        <f t="shared" si="21"/>
        <v>1594.44</v>
      </c>
      <c r="H224" s="299">
        <f t="shared" si="22"/>
        <v>1690.1064000000001</v>
      </c>
      <c r="I224" s="299">
        <f t="shared" si="23"/>
        <v>1721.9952000000001</v>
      </c>
      <c r="J224" s="299">
        <f t="shared" si="24"/>
        <v>1753.884</v>
      </c>
    </row>
    <row r="225" spans="1:10" x14ac:dyDescent="0.2">
      <c r="A225" s="297">
        <v>216</v>
      </c>
      <c r="B225" s="297">
        <v>106</v>
      </c>
      <c r="C225" s="298">
        <v>0.75</v>
      </c>
      <c r="D225" s="298">
        <v>0.79500000000000004</v>
      </c>
      <c r="E225" s="298">
        <v>0.81</v>
      </c>
      <c r="F225" s="298">
        <v>0.82499999999999996</v>
      </c>
      <c r="G225" s="299">
        <f t="shared" si="21"/>
        <v>1603.44</v>
      </c>
      <c r="H225" s="299">
        <f t="shared" si="22"/>
        <v>1699.6464000000001</v>
      </c>
      <c r="I225" s="299">
        <f t="shared" si="23"/>
        <v>1731.7151999999999</v>
      </c>
      <c r="J225" s="299">
        <f t="shared" si="24"/>
        <v>1763.7839999999999</v>
      </c>
    </row>
    <row r="226" spans="1:10" x14ac:dyDescent="0.2">
      <c r="A226" s="297">
        <v>217</v>
      </c>
      <c r="B226" s="297">
        <v>107</v>
      </c>
      <c r="C226" s="298">
        <v>0.75</v>
      </c>
      <c r="D226" s="298">
        <v>0.79500000000000004</v>
      </c>
      <c r="E226" s="298">
        <v>0.81</v>
      </c>
      <c r="F226" s="298">
        <v>0.82499999999999996</v>
      </c>
      <c r="G226" s="299">
        <f t="shared" si="21"/>
        <v>1612.44</v>
      </c>
      <c r="H226" s="299">
        <f t="shared" si="22"/>
        <v>1709.1864</v>
      </c>
      <c r="I226" s="299">
        <f t="shared" si="23"/>
        <v>1741.4351999999999</v>
      </c>
      <c r="J226" s="299">
        <f t="shared" si="24"/>
        <v>1773.684</v>
      </c>
    </row>
    <row r="227" spans="1:10" x14ac:dyDescent="0.2">
      <c r="A227" s="297">
        <v>218</v>
      </c>
      <c r="B227" s="297">
        <v>108</v>
      </c>
      <c r="C227" s="298">
        <v>0.75</v>
      </c>
      <c r="D227" s="298">
        <v>0.79500000000000004</v>
      </c>
      <c r="E227" s="298">
        <v>0.81</v>
      </c>
      <c r="F227" s="298">
        <v>0.82499999999999996</v>
      </c>
      <c r="G227" s="299">
        <f t="shared" si="21"/>
        <v>1621.44</v>
      </c>
      <c r="H227" s="299">
        <f t="shared" si="22"/>
        <v>1718.7264</v>
      </c>
      <c r="I227" s="299">
        <f t="shared" si="23"/>
        <v>1751.1551999999999</v>
      </c>
      <c r="J227" s="299">
        <f t="shared" si="24"/>
        <v>1783.5839999999998</v>
      </c>
    </row>
    <row r="228" spans="1:10" x14ac:dyDescent="0.2">
      <c r="A228" s="297">
        <v>219</v>
      </c>
      <c r="B228" s="297">
        <v>109</v>
      </c>
      <c r="C228" s="298">
        <v>0.75</v>
      </c>
      <c r="D228" s="298">
        <v>0.79500000000000004</v>
      </c>
      <c r="E228" s="298">
        <v>0.81</v>
      </c>
      <c r="F228" s="298">
        <v>0.82499999999999996</v>
      </c>
      <c r="G228" s="299">
        <f t="shared" si="21"/>
        <v>1630.44</v>
      </c>
      <c r="H228" s="299">
        <f t="shared" si="22"/>
        <v>1728.2664</v>
      </c>
      <c r="I228" s="299">
        <f t="shared" si="23"/>
        <v>1760.8751999999999</v>
      </c>
      <c r="J228" s="299">
        <f t="shared" si="24"/>
        <v>1793.4839999999999</v>
      </c>
    </row>
    <row r="229" spans="1:10" x14ac:dyDescent="0.2">
      <c r="A229" s="297">
        <v>220</v>
      </c>
      <c r="B229" s="297">
        <v>110</v>
      </c>
      <c r="C229" s="298">
        <v>0.75</v>
      </c>
      <c r="D229" s="298">
        <v>0.79500000000000004</v>
      </c>
      <c r="E229" s="298">
        <v>0.81</v>
      </c>
      <c r="F229" s="298">
        <v>0.82499999999999996</v>
      </c>
      <c r="G229" s="299">
        <f t="shared" si="21"/>
        <v>1639.44</v>
      </c>
      <c r="H229" s="299">
        <f t="shared" si="22"/>
        <v>1737.8063999999999</v>
      </c>
      <c r="I229" s="299">
        <f t="shared" si="23"/>
        <v>1770.5952</v>
      </c>
      <c r="J229" s="299">
        <f t="shared" si="24"/>
        <v>1803.384</v>
      </c>
    </row>
    <row r="230" spans="1:10" x14ac:dyDescent="0.2">
      <c r="A230" s="297">
        <v>221</v>
      </c>
      <c r="B230" s="297">
        <v>111</v>
      </c>
      <c r="C230" s="298">
        <v>0.75</v>
      </c>
      <c r="D230" s="298">
        <v>0.79500000000000004</v>
      </c>
      <c r="E230" s="298">
        <v>0.81</v>
      </c>
      <c r="F230" s="298">
        <v>0.82499999999999996</v>
      </c>
      <c r="G230" s="299">
        <f t="shared" si="21"/>
        <v>1648.44</v>
      </c>
      <c r="H230" s="299">
        <f t="shared" si="22"/>
        <v>1747.3463999999999</v>
      </c>
      <c r="I230" s="299">
        <f t="shared" si="23"/>
        <v>1780.3152</v>
      </c>
      <c r="J230" s="299">
        <f t="shared" si="24"/>
        <v>1813.2839999999999</v>
      </c>
    </row>
    <row r="231" spans="1:10" x14ac:dyDescent="0.2">
      <c r="A231" s="297">
        <v>222</v>
      </c>
      <c r="B231" s="297">
        <v>112</v>
      </c>
      <c r="C231" s="298">
        <v>0.75</v>
      </c>
      <c r="D231" s="298">
        <v>0.79500000000000004</v>
      </c>
      <c r="E231" s="298">
        <v>0.81</v>
      </c>
      <c r="F231" s="298">
        <v>0.82499999999999996</v>
      </c>
      <c r="G231" s="299">
        <f t="shared" si="21"/>
        <v>1657.44</v>
      </c>
      <c r="H231" s="299">
        <f t="shared" si="22"/>
        <v>1756.8863999999999</v>
      </c>
      <c r="I231" s="299">
        <f t="shared" si="23"/>
        <v>1790.0351999999998</v>
      </c>
      <c r="J231" s="299">
        <f t="shared" si="24"/>
        <v>1823.184</v>
      </c>
    </row>
    <row r="232" spans="1:10" x14ac:dyDescent="0.2">
      <c r="A232" s="297">
        <v>223</v>
      </c>
      <c r="B232" s="297">
        <v>113</v>
      </c>
      <c r="C232" s="298">
        <v>0.75</v>
      </c>
      <c r="D232" s="298">
        <v>0.79500000000000004</v>
      </c>
      <c r="E232" s="298">
        <v>0.81</v>
      </c>
      <c r="F232" s="298">
        <v>0.82499999999999996</v>
      </c>
      <c r="G232" s="299">
        <f t="shared" si="21"/>
        <v>1666.44</v>
      </c>
      <c r="H232" s="299">
        <f t="shared" si="22"/>
        <v>1766.4263999999998</v>
      </c>
      <c r="I232" s="299">
        <f t="shared" si="23"/>
        <v>1799.7552000000001</v>
      </c>
      <c r="J232" s="299">
        <f t="shared" si="24"/>
        <v>1833.0839999999998</v>
      </c>
    </row>
    <row r="233" spans="1:10" x14ac:dyDescent="0.2">
      <c r="A233" s="297">
        <v>224</v>
      </c>
      <c r="B233" s="297">
        <v>114</v>
      </c>
      <c r="C233" s="298">
        <v>0.75</v>
      </c>
      <c r="D233" s="298">
        <v>0.79500000000000004</v>
      </c>
      <c r="E233" s="298">
        <v>0.81</v>
      </c>
      <c r="F233" s="298">
        <v>0.82499999999999996</v>
      </c>
      <c r="G233" s="299">
        <f t="shared" si="21"/>
        <v>1675.44</v>
      </c>
      <c r="H233" s="299">
        <f t="shared" si="22"/>
        <v>1775.9664000000002</v>
      </c>
      <c r="I233" s="299">
        <f t="shared" si="23"/>
        <v>1809.4751999999999</v>
      </c>
      <c r="J233" s="299">
        <f t="shared" si="24"/>
        <v>1842.9839999999999</v>
      </c>
    </row>
    <row r="234" spans="1:10" x14ac:dyDescent="0.2">
      <c r="A234" s="297">
        <v>225</v>
      </c>
      <c r="B234" s="297">
        <v>115</v>
      </c>
      <c r="C234" s="298">
        <v>0.75</v>
      </c>
      <c r="D234" s="298">
        <v>0.79500000000000004</v>
      </c>
      <c r="E234" s="298">
        <v>0.81</v>
      </c>
      <c r="F234" s="298">
        <v>0.82499999999999996</v>
      </c>
      <c r="G234" s="299">
        <f t="shared" si="21"/>
        <v>1684.44</v>
      </c>
      <c r="H234" s="299">
        <f t="shared" si="22"/>
        <v>1785.5064000000002</v>
      </c>
      <c r="I234" s="299">
        <f t="shared" si="23"/>
        <v>1819.1952000000001</v>
      </c>
      <c r="J234" s="299">
        <f t="shared" si="24"/>
        <v>1852.884</v>
      </c>
    </row>
    <row r="235" spans="1:10" x14ac:dyDescent="0.2">
      <c r="A235" s="297">
        <v>226</v>
      </c>
      <c r="B235" s="297">
        <v>116</v>
      </c>
      <c r="C235" s="298">
        <v>0.75</v>
      </c>
      <c r="D235" s="298">
        <v>0.79500000000000004</v>
      </c>
      <c r="E235" s="298">
        <v>0.81</v>
      </c>
      <c r="F235" s="298">
        <v>0.82499999999999996</v>
      </c>
      <c r="G235" s="299">
        <f t="shared" si="21"/>
        <v>1693.44</v>
      </c>
      <c r="H235" s="299">
        <f t="shared" si="22"/>
        <v>1795.0463999999997</v>
      </c>
      <c r="I235" s="299">
        <f t="shared" si="23"/>
        <v>1828.9151999999999</v>
      </c>
      <c r="J235" s="299">
        <f t="shared" si="24"/>
        <v>1862.7839999999999</v>
      </c>
    </row>
    <row r="236" spans="1:10" x14ac:dyDescent="0.2">
      <c r="A236" s="297">
        <v>227</v>
      </c>
      <c r="B236" s="297">
        <v>117</v>
      </c>
      <c r="C236" s="298">
        <v>0.75</v>
      </c>
      <c r="D236" s="298">
        <v>0.79500000000000004</v>
      </c>
      <c r="E236" s="298">
        <v>0.81</v>
      </c>
      <c r="F236" s="298">
        <v>0.82499999999999996</v>
      </c>
      <c r="G236" s="299">
        <f t="shared" si="21"/>
        <v>1702.44</v>
      </c>
      <c r="H236" s="299">
        <f t="shared" si="22"/>
        <v>1804.5864000000001</v>
      </c>
      <c r="I236" s="299">
        <f t="shared" si="23"/>
        <v>1838.6352000000002</v>
      </c>
      <c r="J236" s="299">
        <f t="shared" si="24"/>
        <v>1872.684</v>
      </c>
    </row>
    <row r="237" spans="1:10" x14ac:dyDescent="0.2">
      <c r="A237" s="297">
        <v>228</v>
      </c>
      <c r="B237" s="297">
        <v>118</v>
      </c>
      <c r="C237" s="298">
        <v>0.75</v>
      </c>
      <c r="D237" s="298">
        <v>0.79500000000000004</v>
      </c>
      <c r="E237" s="298">
        <v>0.81</v>
      </c>
      <c r="F237" s="298">
        <v>0.82499999999999996</v>
      </c>
      <c r="G237" s="299">
        <f t="shared" si="21"/>
        <v>1711.44</v>
      </c>
      <c r="H237" s="299">
        <f t="shared" si="22"/>
        <v>1814.1264000000001</v>
      </c>
      <c r="I237" s="299">
        <f t="shared" si="23"/>
        <v>1848.3552</v>
      </c>
      <c r="J237" s="299">
        <f t="shared" si="24"/>
        <v>1882.5839999999998</v>
      </c>
    </row>
    <row r="238" spans="1:10" x14ac:dyDescent="0.2">
      <c r="A238" s="297">
        <v>229</v>
      </c>
      <c r="B238" s="297">
        <v>119</v>
      </c>
      <c r="C238" s="298">
        <v>0.75</v>
      </c>
      <c r="D238" s="298">
        <v>0.79500000000000004</v>
      </c>
      <c r="E238" s="298">
        <v>0.81</v>
      </c>
      <c r="F238" s="298">
        <v>0.82499999999999996</v>
      </c>
      <c r="G238" s="299">
        <f t="shared" si="21"/>
        <v>1720.44</v>
      </c>
      <c r="H238" s="299">
        <f t="shared" si="22"/>
        <v>1823.6664000000001</v>
      </c>
      <c r="I238" s="299">
        <f t="shared" si="23"/>
        <v>1858.0752</v>
      </c>
      <c r="J238" s="299">
        <f t="shared" si="24"/>
        <v>1892.4839999999999</v>
      </c>
    </row>
    <row r="239" spans="1:10" x14ac:dyDescent="0.2">
      <c r="A239" s="297">
        <v>230</v>
      </c>
      <c r="B239" s="297">
        <v>120</v>
      </c>
      <c r="C239" s="298">
        <v>0.75</v>
      </c>
      <c r="D239" s="298">
        <v>0.79500000000000004</v>
      </c>
      <c r="E239" s="298">
        <v>0.81</v>
      </c>
      <c r="F239" s="298">
        <v>0.82499999999999996</v>
      </c>
      <c r="G239" s="299">
        <f t="shared" si="21"/>
        <v>1729.44</v>
      </c>
      <c r="H239" s="299">
        <f t="shared" si="22"/>
        <v>1833.2064</v>
      </c>
      <c r="I239" s="299">
        <f t="shared" si="23"/>
        <v>1867.7952</v>
      </c>
      <c r="J239" s="299">
        <f t="shared" si="24"/>
        <v>1902.384</v>
      </c>
    </row>
    <row r="240" spans="1:10" x14ac:dyDescent="0.2">
      <c r="A240" s="297">
        <v>231</v>
      </c>
      <c r="B240" s="297">
        <v>121</v>
      </c>
      <c r="C240" s="298">
        <v>0.75</v>
      </c>
      <c r="D240" s="298">
        <v>0.79500000000000004</v>
      </c>
      <c r="E240" s="298">
        <v>0.81</v>
      </c>
      <c r="F240" s="298">
        <v>0.82499999999999996</v>
      </c>
      <c r="G240" s="299">
        <f t="shared" si="21"/>
        <v>1738.44</v>
      </c>
      <c r="H240" s="299">
        <f t="shared" si="22"/>
        <v>1842.7464</v>
      </c>
      <c r="I240" s="299">
        <f t="shared" si="23"/>
        <v>1877.5152</v>
      </c>
      <c r="J240" s="299">
        <f t="shared" si="24"/>
        <v>1912.2839999999999</v>
      </c>
    </row>
    <row r="241" spans="1:10" x14ac:dyDescent="0.2">
      <c r="A241" s="297">
        <v>232</v>
      </c>
      <c r="B241" s="297">
        <v>122</v>
      </c>
      <c r="C241" s="298">
        <v>0.75</v>
      </c>
      <c r="D241" s="298">
        <v>0.79500000000000004</v>
      </c>
      <c r="E241" s="298">
        <v>0.81</v>
      </c>
      <c r="F241" s="298">
        <v>0.82499999999999996</v>
      </c>
      <c r="G241" s="299">
        <f t="shared" si="21"/>
        <v>1747.44</v>
      </c>
      <c r="H241" s="299">
        <f t="shared" si="22"/>
        <v>1852.2864</v>
      </c>
      <c r="I241" s="299">
        <f t="shared" si="23"/>
        <v>1887.2352000000001</v>
      </c>
      <c r="J241" s="299">
        <f t="shared" si="24"/>
        <v>1922.184</v>
      </c>
    </row>
    <row r="242" spans="1:10" x14ac:dyDescent="0.2">
      <c r="A242" s="297">
        <v>233</v>
      </c>
      <c r="B242" s="297">
        <v>123</v>
      </c>
      <c r="C242" s="298">
        <v>0.75</v>
      </c>
      <c r="D242" s="298">
        <v>0.79500000000000004</v>
      </c>
      <c r="E242" s="298">
        <v>0.81</v>
      </c>
      <c r="F242" s="298">
        <v>0.82499999999999996</v>
      </c>
      <c r="G242" s="299">
        <f t="shared" si="21"/>
        <v>1756.44</v>
      </c>
      <c r="H242" s="299">
        <f t="shared" si="22"/>
        <v>1861.8263999999999</v>
      </c>
      <c r="I242" s="299">
        <f t="shared" si="23"/>
        <v>1896.9552000000001</v>
      </c>
      <c r="J242" s="299">
        <f t="shared" si="24"/>
        <v>1932.0839999999998</v>
      </c>
    </row>
    <row r="243" spans="1:10" x14ac:dyDescent="0.2">
      <c r="A243" s="297">
        <v>234</v>
      </c>
      <c r="B243" s="297">
        <v>124</v>
      </c>
      <c r="C243" s="298">
        <v>0.75</v>
      </c>
      <c r="D243" s="298">
        <v>0.79500000000000004</v>
      </c>
      <c r="E243" s="298">
        <v>0.81</v>
      </c>
      <c r="F243" s="298">
        <v>0.82499999999999996</v>
      </c>
      <c r="G243" s="299">
        <f t="shared" si="21"/>
        <v>1765.44</v>
      </c>
      <c r="H243" s="299">
        <f t="shared" si="22"/>
        <v>1871.3663999999999</v>
      </c>
      <c r="I243" s="299">
        <f t="shared" si="23"/>
        <v>1906.6752000000001</v>
      </c>
      <c r="J243" s="299">
        <f t="shared" si="24"/>
        <v>1941.9839999999999</v>
      </c>
    </row>
    <row r="244" spans="1:10" x14ac:dyDescent="0.2">
      <c r="A244" s="297">
        <v>235</v>
      </c>
      <c r="B244" s="297">
        <v>125</v>
      </c>
      <c r="C244" s="298">
        <v>0.75</v>
      </c>
      <c r="D244" s="298">
        <v>0.79500000000000004</v>
      </c>
      <c r="E244" s="298">
        <v>0.81</v>
      </c>
      <c r="F244" s="298">
        <v>0.82499999999999996</v>
      </c>
      <c r="G244" s="299">
        <f t="shared" si="21"/>
        <v>1774.44</v>
      </c>
      <c r="H244" s="299">
        <f t="shared" si="22"/>
        <v>1880.9063999999998</v>
      </c>
      <c r="I244" s="299">
        <f t="shared" si="23"/>
        <v>1916.3951999999999</v>
      </c>
      <c r="J244" s="299">
        <f t="shared" si="24"/>
        <v>1951.884</v>
      </c>
    </row>
    <row r="245" spans="1:10" x14ac:dyDescent="0.2">
      <c r="A245" s="297">
        <v>236</v>
      </c>
      <c r="B245" s="297">
        <v>126</v>
      </c>
      <c r="C245" s="298">
        <v>0.75</v>
      </c>
      <c r="D245" s="298">
        <v>0.79500000000000004</v>
      </c>
      <c r="E245" s="298">
        <v>0.81</v>
      </c>
      <c r="F245" s="298">
        <v>0.82499999999999996</v>
      </c>
      <c r="G245" s="299">
        <f t="shared" si="21"/>
        <v>1783.44</v>
      </c>
      <c r="H245" s="299">
        <f t="shared" si="22"/>
        <v>1890.4463999999998</v>
      </c>
      <c r="I245" s="299">
        <f t="shared" si="23"/>
        <v>1926.1152</v>
      </c>
      <c r="J245" s="299">
        <f t="shared" si="24"/>
        <v>1961.7839999999999</v>
      </c>
    </row>
    <row r="246" spans="1:10" x14ac:dyDescent="0.2">
      <c r="A246" s="297">
        <v>237</v>
      </c>
      <c r="B246" s="297">
        <v>127</v>
      </c>
      <c r="C246" s="298">
        <v>0.75</v>
      </c>
      <c r="D246" s="298">
        <v>0.79500000000000004</v>
      </c>
      <c r="E246" s="298">
        <v>0.81</v>
      </c>
      <c r="F246" s="298">
        <v>0.82499999999999996</v>
      </c>
      <c r="G246" s="299">
        <f t="shared" si="21"/>
        <v>1792.44</v>
      </c>
      <c r="H246" s="299">
        <f t="shared" si="22"/>
        <v>1899.9863999999998</v>
      </c>
      <c r="I246" s="299">
        <f t="shared" si="23"/>
        <v>1935.8352</v>
      </c>
      <c r="J246" s="299">
        <f t="shared" si="24"/>
        <v>1971.684</v>
      </c>
    </row>
    <row r="247" spans="1:10" x14ac:dyDescent="0.2">
      <c r="A247" s="297">
        <v>238</v>
      </c>
      <c r="B247" s="297">
        <v>128</v>
      </c>
      <c r="C247" s="298">
        <v>0.75</v>
      </c>
      <c r="D247" s="298">
        <v>0.79500000000000004</v>
      </c>
      <c r="E247" s="298">
        <v>0.81</v>
      </c>
      <c r="F247" s="298">
        <v>0.82499999999999996</v>
      </c>
      <c r="G247" s="299">
        <f t="shared" si="21"/>
        <v>1801.44</v>
      </c>
      <c r="H247" s="299">
        <f t="shared" si="22"/>
        <v>1909.5264000000002</v>
      </c>
      <c r="I247" s="299">
        <f t="shared" si="23"/>
        <v>1945.5552</v>
      </c>
      <c r="J247" s="299">
        <f t="shared" si="24"/>
        <v>1981.5839999999998</v>
      </c>
    </row>
    <row r="248" spans="1:10" x14ac:dyDescent="0.2">
      <c r="A248" s="297">
        <v>239</v>
      </c>
      <c r="B248" s="297">
        <v>129</v>
      </c>
      <c r="C248" s="298">
        <v>0.75</v>
      </c>
      <c r="D248" s="298">
        <v>0.79500000000000004</v>
      </c>
      <c r="E248" s="298">
        <v>0.81</v>
      </c>
      <c r="F248" s="298">
        <v>0.82499999999999996</v>
      </c>
      <c r="G248" s="299">
        <f t="shared" si="21"/>
        <v>1810.44</v>
      </c>
      <c r="H248" s="299">
        <f t="shared" si="22"/>
        <v>1919.0664000000002</v>
      </c>
      <c r="I248" s="299">
        <f t="shared" si="23"/>
        <v>1955.2752</v>
      </c>
      <c r="J248" s="299">
        <f t="shared" si="24"/>
        <v>1991.4839999999999</v>
      </c>
    </row>
    <row r="249" spans="1:10" x14ac:dyDescent="0.2">
      <c r="A249" s="297">
        <v>240</v>
      </c>
      <c r="B249" s="297">
        <v>130</v>
      </c>
      <c r="C249" s="298">
        <v>0.75</v>
      </c>
      <c r="D249" s="298">
        <v>0.79500000000000004</v>
      </c>
      <c r="E249" s="298">
        <v>0.81</v>
      </c>
      <c r="F249" s="298">
        <v>0.82499999999999996</v>
      </c>
      <c r="G249" s="299">
        <f t="shared" ref="G249:G312" si="25">G$119+$B249*C249*12</f>
        <v>1819.44</v>
      </c>
      <c r="H249" s="299">
        <f t="shared" si="22"/>
        <v>1928.6064000000001</v>
      </c>
      <c r="I249" s="299">
        <f t="shared" si="23"/>
        <v>1964.9952000000001</v>
      </c>
      <c r="J249" s="299">
        <f t="shared" si="24"/>
        <v>2001.384</v>
      </c>
    </row>
    <row r="250" spans="1:10" x14ac:dyDescent="0.2">
      <c r="A250" s="297">
        <v>241</v>
      </c>
      <c r="B250" s="297">
        <v>131</v>
      </c>
      <c r="C250" s="298">
        <v>0.75</v>
      </c>
      <c r="D250" s="298">
        <v>0.79500000000000004</v>
      </c>
      <c r="E250" s="298">
        <v>0.81</v>
      </c>
      <c r="F250" s="298">
        <v>0.82499999999999996</v>
      </c>
      <c r="G250" s="299">
        <f t="shared" si="25"/>
        <v>1828.44</v>
      </c>
      <c r="H250" s="299">
        <f t="shared" si="22"/>
        <v>1938.1464000000001</v>
      </c>
      <c r="I250" s="299">
        <f t="shared" si="23"/>
        <v>1974.7152000000001</v>
      </c>
      <c r="J250" s="299">
        <f t="shared" si="24"/>
        <v>2011.2839999999999</v>
      </c>
    </row>
    <row r="251" spans="1:10" x14ac:dyDescent="0.2">
      <c r="A251" s="297">
        <v>242</v>
      </c>
      <c r="B251" s="297">
        <v>132</v>
      </c>
      <c r="C251" s="298">
        <v>0.75</v>
      </c>
      <c r="D251" s="298">
        <v>0.79500000000000004</v>
      </c>
      <c r="E251" s="298">
        <v>0.81</v>
      </c>
      <c r="F251" s="298">
        <v>0.82499999999999996</v>
      </c>
      <c r="G251" s="299">
        <f t="shared" si="25"/>
        <v>1837.44</v>
      </c>
      <c r="H251" s="299">
        <f t="shared" si="22"/>
        <v>1947.6864</v>
      </c>
      <c r="I251" s="299">
        <f t="shared" si="23"/>
        <v>1984.4351999999999</v>
      </c>
      <c r="J251" s="299">
        <f t="shared" si="24"/>
        <v>2021.184</v>
      </c>
    </row>
    <row r="252" spans="1:10" x14ac:dyDescent="0.2">
      <c r="A252" s="297">
        <v>243</v>
      </c>
      <c r="B252" s="297">
        <v>133</v>
      </c>
      <c r="C252" s="298">
        <v>0.75</v>
      </c>
      <c r="D252" s="298">
        <v>0.79500000000000004</v>
      </c>
      <c r="E252" s="298">
        <v>0.81</v>
      </c>
      <c r="F252" s="298">
        <v>0.82499999999999996</v>
      </c>
      <c r="G252" s="299">
        <f t="shared" si="25"/>
        <v>1846.44</v>
      </c>
      <c r="H252" s="299">
        <f t="shared" si="22"/>
        <v>1957.2264</v>
      </c>
      <c r="I252" s="299">
        <f t="shared" si="23"/>
        <v>1994.1551999999999</v>
      </c>
      <c r="J252" s="299">
        <f t="shared" si="24"/>
        <v>2031.0839999999998</v>
      </c>
    </row>
    <row r="253" spans="1:10" x14ac:dyDescent="0.2">
      <c r="A253" s="297">
        <v>244</v>
      </c>
      <c r="B253" s="297">
        <v>134</v>
      </c>
      <c r="C253" s="298">
        <v>0.75</v>
      </c>
      <c r="D253" s="298">
        <v>0.79500000000000004</v>
      </c>
      <c r="E253" s="298">
        <v>0.81</v>
      </c>
      <c r="F253" s="298">
        <v>0.82499999999999996</v>
      </c>
      <c r="G253" s="299">
        <f t="shared" si="25"/>
        <v>1855.44</v>
      </c>
      <c r="H253" s="299">
        <f t="shared" si="22"/>
        <v>1966.7664</v>
      </c>
      <c r="I253" s="299">
        <f t="shared" si="23"/>
        <v>2003.8751999999999</v>
      </c>
      <c r="J253" s="299">
        <f t="shared" si="24"/>
        <v>2040.9839999999999</v>
      </c>
    </row>
    <row r="254" spans="1:10" x14ac:dyDescent="0.2">
      <c r="A254" s="297">
        <v>245</v>
      </c>
      <c r="B254" s="297">
        <v>135</v>
      </c>
      <c r="C254" s="298">
        <v>0.75</v>
      </c>
      <c r="D254" s="298">
        <v>0.79500000000000004</v>
      </c>
      <c r="E254" s="298">
        <v>0.81</v>
      </c>
      <c r="F254" s="298">
        <v>0.82499999999999996</v>
      </c>
      <c r="G254" s="299">
        <f t="shared" si="25"/>
        <v>1864.44</v>
      </c>
      <c r="H254" s="299">
        <f t="shared" si="22"/>
        <v>1976.3063999999999</v>
      </c>
      <c r="I254" s="299">
        <f t="shared" si="23"/>
        <v>2013.5952</v>
      </c>
      <c r="J254" s="299">
        <f t="shared" si="24"/>
        <v>2050.884</v>
      </c>
    </row>
    <row r="255" spans="1:10" x14ac:dyDescent="0.2">
      <c r="A255" s="297">
        <v>246</v>
      </c>
      <c r="B255" s="297">
        <v>136</v>
      </c>
      <c r="C255" s="298">
        <v>0.75</v>
      </c>
      <c r="D255" s="298">
        <v>0.79500000000000004</v>
      </c>
      <c r="E255" s="298">
        <v>0.81</v>
      </c>
      <c r="F255" s="298">
        <v>0.82499999999999996</v>
      </c>
      <c r="G255" s="299">
        <f t="shared" si="25"/>
        <v>1873.44</v>
      </c>
      <c r="H255" s="299">
        <f t="shared" si="22"/>
        <v>1985.8463999999999</v>
      </c>
      <c r="I255" s="299">
        <f t="shared" si="23"/>
        <v>2023.3152</v>
      </c>
      <c r="J255" s="299">
        <f t="shared" si="24"/>
        <v>2060.7839999999997</v>
      </c>
    </row>
    <row r="256" spans="1:10" x14ac:dyDescent="0.2">
      <c r="A256" s="297">
        <v>247</v>
      </c>
      <c r="B256" s="297">
        <v>137</v>
      </c>
      <c r="C256" s="298">
        <v>0.75</v>
      </c>
      <c r="D256" s="298">
        <v>0.79500000000000004</v>
      </c>
      <c r="E256" s="298">
        <v>0.81</v>
      </c>
      <c r="F256" s="298">
        <v>0.82499999999999996</v>
      </c>
      <c r="G256" s="299">
        <f t="shared" si="25"/>
        <v>1882.44</v>
      </c>
      <c r="H256" s="299">
        <f t="shared" si="22"/>
        <v>1995.3863999999999</v>
      </c>
      <c r="I256" s="299">
        <f t="shared" si="23"/>
        <v>2033.0352</v>
      </c>
      <c r="J256" s="299">
        <f t="shared" si="24"/>
        <v>2070.6840000000002</v>
      </c>
    </row>
    <row r="257" spans="1:10" x14ac:dyDescent="0.2">
      <c r="A257" s="297">
        <v>248</v>
      </c>
      <c r="B257" s="297">
        <v>138</v>
      </c>
      <c r="C257" s="298">
        <v>0.75</v>
      </c>
      <c r="D257" s="298">
        <v>0.79500000000000004</v>
      </c>
      <c r="E257" s="298">
        <v>0.81</v>
      </c>
      <c r="F257" s="298">
        <v>0.82499999999999996</v>
      </c>
      <c r="G257" s="299">
        <f t="shared" si="25"/>
        <v>1891.44</v>
      </c>
      <c r="H257" s="299">
        <f t="shared" si="22"/>
        <v>2004.9263999999998</v>
      </c>
      <c r="I257" s="299">
        <f t="shared" si="23"/>
        <v>2042.7552000000001</v>
      </c>
      <c r="J257" s="299">
        <f t="shared" si="24"/>
        <v>2080.5839999999998</v>
      </c>
    </row>
    <row r="258" spans="1:10" x14ac:dyDescent="0.2">
      <c r="A258" s="297">
        <v>249</v>
      </c>
      <c r="B258" s="297">
        <v>139</v>
      </c>
      <c r="C258" s="298">
        <v>0.75</v>
      </c>
      <c r="D258" s="298">
        <v>0.79500000000000004</v>
      </c>
      <c r="E258" s="298">
        <v>0.81</v>
      </c>
      <c r="F258" s="298">
        <v>0.82499999999999996</v>
      </c>
      <c r="G258" s="299">
        <f t="shared" si="25"/>
        <v>1900.44</v>
      </c>
      <c r="H258" s="299">
        <f t="shared" si="22"/>
        <v>2014.4664000000002</v>
      </c>
      <c r="I258" s="299">
        <f t="shared" si="23"/>
        <v>2052.4751999999999</v>
      </c>
      <c r="J258" s="299">
        <f t="shared" si="24"/>
        <v>2090.4839999999999</v>
      </c>
    </row>
    <row r="259" spans="1:10" x14ac:dyDescent="0.2">
      <c r="A259" s="297">
        <v>250</v>
      </c>
      <c r="B259" s="297">
        <v>140</v>
      </c>
      <c r="C259" s="298">
        <v>0.75</v>
      </c>
      <c r="D259" s="298">
        <v>0.79500000000000004</v>
      </c>
      <c r="E259" s="298">
        <v>0.81</v>
      </c>
      <c r="F259" s="298">
        <v>0.82499999999999996</v>
      </c>
      <c r="G259" s="299">
        <f t="shared" si="25"/>
        <v>1909.44</v>
      </c>
      <c r="H259" s="299">
        <f t="shared" si="22"/>
        <v>2024.0064000000002</v>
      </c>
      <c r="I259" s="299">
        <f t="shared" si="23"/>
        <v>2062.1952000000001</v>
      </c>
      <c r="J259" s="299">
        <f t="shared" si="24"/>
        <v>2100.384</v>
      </c>
    </row>
    <row r="260" spans="1:10" x14ac:dyDescent="0.2">
      <c r="A260" s="297">
        <v>251</v>
      </c>
      <c r="B260" s="297">
        <v>141</v>
      </c>
      <c r="C260" s="298">
        <v>0.75</v>
      </c>
      <c r="D260" s="298">
        <v>0.79500000000000004</v>
      </c>
      <c r="E260" s="298">
        <v>0.81</v>
      </c>
      <c r="F260" s="298">
        <v>0.82499999999999996</v>
      </c>
      <c r="G260" s="299">
        <f t="shared" si="25"/>
        <v>1918.44</v>
      </c>
      <c r="H260" s="299">
        <f t="shared" si="22"/>
        <v>2033.5463999999997</v>
      </c>
      <c r="I260" s="299">
        <f t="shared" si="23"/>
        <v>2071.9151999999999</v>
      </c>
      <c r="J260" s="299">
        <f t="shared" si="24"/>
        <v>2110.2839999999997</v>
      </c>
    </row>
    <row r="261" spans="1:10" x14ac:dyDescent="0.2">
      <c r="A261" s="297">
        <v>252</v>
      </c>
      <c r="B261" s="297">
        <v>142</v>
      </c>
      <c r="C261" s="298">
        <v>0.75</v>
      </c>
      <c r="D261" s="298">
        <v>0.79500000000000004</v>
      </c>
      <c r="E261" s="298">
        <v>0.81</v>
      </c>
      <c r="F261" s="298">
        <v>0.82499999999999996</v>
      </c>
      <c r="G261" s="299">
        <f t="shared" si="25"/>
        <v>1927.44</v>
      </c>
      <c r="H261" s="299">
        <f t="shared" si="22"/>
        <v>2043.0864000000001</v>
      </c>
      <c r="I261" s="299">
        <f t="shared" si="23"/>
        <v>2081.6352000000002</v>
      </c>
      <c r="J261" s="299">
        <f t="shared" si="24"/>
        <v>2120.1840000000002</v>
      </c>
    </row>
    <row r="262" spans="1:10" x14ac:dyDescent="0.2">
      <c r="A262" s="297">
        <v>253</v>
      </c>
      <c r="B262" s="297">
        <v>143</v>
      </c>
      <c r="C262" s="298">
        <v>0.75</v>
      </c>
      <c r="D262" s="298">
        <v>0.79500000000000004</v>
      </c>
      <c r="E262" s="298">
        <v>0.81</v>
      </c>
      <c r="F262" s="298">
        <v>0.82499999999999996</v>
      </c>
      <c r="G262" s="299">
        <f t="shared" si="25"/>
        <v>1936.44</v>
      </c>
      <c r="H262" s="299">
        <f t="shared" si="22"/>
        <v>2052.6264000000001</v>
      </c>
      <c r="I262" s="299">
        <f t="shared" si="23"/>
        <v>2091.3552</v>
      </c>
      <c r="J262" s="299">
        <f t="shared" si="24"/>
        <v>2130.0839999999998</v>
      </c>
    </row>
    <row r="263" spans="1:10" x14ac:dyDescent="0.2">
      <c r="A263" s="297">
        <v>254</v>
      </c>
      <c r="B263" s="297">
        <v>144</v>
      </c>
      <c r="C263" s="298">
        <v>0.75</v>
      </c>
      <c r="D263" s="298">
        <v>0.79500000000000004</v>
      </c>
      <c r="E263" s="298">
        <v>0.81</v>
      </c>
      <c r="F263" s="298">
        <v>0.82499999999999996</v>
      </c>
      <c r="G263" s="299">
        <f t="shared" si="25"/>
        <v>1945.44</v>
      </c>
      <c r="H263" s="299">
        <f t="shared" si="22"/>
        <v>2062.1664000000001</v>
      </c>
      <c r="I263" s="299">
        <f t="shared" si="23"/>
        <v>2101.0752000000002</v>
      </c>
      <c r="J263" s="299">
        <f t="shared" si="24"/>
        <v>2139.9839999999999</v>
      </c>
    </row>
    <row r="264" spans="1:10" x14ac:dyDescent="0.2">
      <c r="A264" s="297">
        <v>255</v>
      </c>
      <c r="B264" s="297">
        <v>145</v>
      </c>
      <c r="C264" s="298">
        <v>0.75</v>
      </c>
      <c r="D264" s="298">
        <v>0.79500000000000004</v>
      </c>
      <c r="E264" s="298">
        <v>0.81</v>
      </c>
      <c r="F264" s="298">
        <v>0.82499999999999996</v>
      </c>
      <c r="G264" s="299">
        <f t="shared" si="25"/>
        <v>1954.44</v>
      </c>
      <c r="H264" s="299">
        <f t="shared" ref="H264:H327" si="26">H$119+$B264*D264*12</f>
        <v>2071.7064</v>
      </c>
      <c r="I264" s="299">
        <f t="shared" ref="I264:I327" si="27">I$119+$B264*E264*12</f>
        <v>2110.7952</v>
      </c>
      <c r="J264" s="299">
        <f t="shared" ref="J264:J327" si="28">J$119+$B264*F264*12</f>
        <v>2149.884</v>
      </c>
    </row>
    <row r="265" spans="1:10" x14ac:dyDescent="0.2">
      <c r="A265" s="297">
        <v>256</v>
      </c>
      <c r="B265" s="297">
        <v>146</v>
      </c>
      <c r="C265" s="298">
        <v>0.75</v>
      </c>
      <c r="D265" s="298">
        <v>0.79500000000000004</v>
      </c>
      <c r="E265" s="298">
        <v>0.81</v>
      </c>
      <c r="F265" s="298">
        <v>0.82499999999999996</v>
      </c>
      <c r="G265" s="299">
        <f t="shared" si="25"/>
        <v>1963.44</v>
      </c>
      <c r="H265" s="299">
        <f t="shared" si="26"/>
        <v>2081.2464</v>
      </c>
      <c r="I265" s="299">
        <f t="shared" si="27"/>
        <v>2120.5151999999998</v>
      </c>
      <c r="J265" s="299">
        <f t="shared" si="28"/>
        <v>2159.7839999999997</v>
      </c>
    </row>
    <row r="266" spans="1:10" x14ac:dyDescent="0.2">
      <c r="A266" s="297">
        <v>257</v>
      </c>
      <c r="B266" s="297">
        <v>147</v>
      </c>
      <c r="C266" s="298">
        <v>0.75</v>
      </c>
      <c r="D266" s="298">
        <v>0.79500000000000004</v>
      </c>
      <c r="E266" s="298">
        <v>0.81</v>
      </c>
      <c r="F266" s="298">
        <v>0.82499999999999996</v>
      </c>
      <c r="G266" s="299">
        <f t="shared" si="25"/>
        <v>1972.44</v>
      </c>
      <c r="H266" s="299">
        <f t="shared" si="26"/>
        <v>2090.7864</v>
      </c>
      <c r="I266" s="299">
        <f t="shared" si="27"/>
        <v>2130.2352000000001</v>
      </c>
      <c r="J266" s="299">
        <f t="shared" si="28"/>
        <v>2169.6840000000002</v>
      </c>
    </row>
    <row r="267" spans="1:10" x14ac:dyDescent="0.2">
      <c r="A267" s="297">
        <v>258</v>
      </c>
      <c r="B267" s="297">
        <v>148</v>
      </c>
      <c r="C267" s="298">
        <v>0.75</v>
      </c>
      <c r="D267" s="298">
        <v>0.79500000000000004</v>
      </c>
      <c r="E267" s="298">
        <v>0.81</v>
      </c>
      <c r="F267" s="298">
        <v>0.82499999999999996</v>
      </c>
      <c r="G267" s="299">
        <f t="shared" si="25"/>
        <v>1981.44</v>
      </c>
      <c r="H267" s="299">
        <f t="shared" si="26"/>
        <v>2100.3263999999999</v>
      </c>
      <c r="I267" s="299">
        <f t="shared" si="27"/>
        <v>2139.9552000000003</v>
      </c>
      <c r="J267" s="299">
        <f t="shared" si="28"/>
        <v>2179.5839999999998</v>
      </c>
    </row>
    <row r="268" spans="1:10" x14ac:dyDescent="0.2">
      <c r="A268" s="297">
        <v>259</v>
      </c>
      <c r="B268" s="297">
        <v>149</v>
      </c>
      <c r="C268" s="298">
        <v>0.75</v>
      </c>
      <c r="D268" s="298">
        <v>0.79500000000000004</v>
      </c>
      <c r="E268" s="298">
        <v>0.81</v>
      </c>
      <c r="F268" s="298">
        <v>0.82499999999999996</v>
      </c>
      <c r="G268" s="299">
        <f t="shared" si="25"/>
        <v>1990.44</v>
      </c>
      <c r="H268" s="299">
        <f t="shared" si="26"/>
        <v>2109.8663999999999</v>
      </c>
      <c r="I268" s="299">
        <f t="shared" si="27"/>
        <v>2149.6752000000001</v>
      </c>
      <c r="J268" s="299">
        <f t="shared" si="28"/>
        <v>2189.4839999999999</v>
      </c>
    </row>
    <row r="269" spans="1:10" x14ac:dyDescent="0.2">
      <c r="A269" s="297">
        <v>260</v>
      </c>
      <c r="B269" s="297">
        <v>150</v>
      </c>
      <c r="C269" s="298">
        <v>0.75</v>
      </c>
      <c r="D269" s="298">
        <v>0.79500000000000004</v>
      </c>
      <c r="E269" s="298">
        <v>0.81</v>
      </c>
      <c r="F269" s="298">
        <v>0.82499999999999996</v>
      </c>
      <c r="G269" s="299">
        <f t="shared" si="25"/>
        <v>1999.44</v>
      </c>
      <c r="H269" s="299">
        <f t="shared" si="26"/>
        <v>2119.4063999999998</v>
      </c>
      <c r="I269" s="299">
        <f t="shared" si="27"/>
        <v>2159.3951999999999</v>
      </c>
      <c r="J269" s="299">
        <f t="shared" si="28"/>
        <v>2199.384</v>
      </c>
    </row>
    <row r="270" spans="1:10" x14ac:dyDescent="0.2">
      <c r="A270" s="297">
        <v>261</v>
      </c>
      <c r="B270" s="297">
        <v>151</v>
      </c>
      <c r="C270" s="298">
        <v>0.75</v>
      </c>
      <c r="D270" s="298">
        <v>0.79500000000000004</v>
      </c>
      <c r="E270" s="298">
        <v>0.81</v>
      </c>
      <c r="F270" s="298">
        <v>0.82499999999999996</v>
      </c>
      <c r="G270" s="299">
        <f t="shared" si="25"/>
        <v>2008.44</v>
      </c>
      <c r="H270" s="299">
        <f t="shared" si="26"/>
        <v>2128.9463999999998</v>
      </c>
      <c r="I270" s="299">
        <f t="shared" si="27"/>
        <v>2169.1152000000002</v>
      </c>
      <c r="J270" s="299">
        <f t="shared" si="28"/>
        <v>2209.2839999999997</v>
      </c>
    </row>
    <row r="271" spans="1:10" x14ac:dyDescent="0.2">
      <c r="A271" s="297">
        <v>262</v>
      </c>
      <c r="B271" s="297">
        <v>152</v>
      </c>
      <c r="C271" s="298">
        <v>0.75</v>
      </c>
      <c r="D271" s="298">
        <v>0.79500000000000004</v>
      </c>
      <c r="E271" s="298">
        <v>0.81</v>
      </c>
      <c r="F271" s="298">
        <v>0.82499999999999996</v>
      </c>
      <c r="G271" s="299">
        <f t="shared" si="25"/>
        <v>2017.44</v>
      </c>
      <c r="H271" s="299">
        <f t="shared" si="26"/>
        <v>2138.4863999999998</v>
      </c>
      <c r="I271" s="299">
        <f t="shared" si="27"/>
        <v>2178.8352</v>
      </c>
      <c r="J271" s="299">
        <f t="shared" si="28"/>
        <v>2219.1840000000002</v>
      </c>
    </row>
    <row r="272" spans="1:10" x14ac:dyDescent="0.2">
      <c r="A272" s="297">
        <v>263</v>
      </c>
      <c r="B272" s="297">
        <v>153</v>
      </c>
      <c r="C272" s="298">
        <v>0.75</v>
      </c>
      <c r="D272" s="298">
        <v>0.79500000000000004</v>
      </c>
      <c r="E272" s="298">
        <v>0.81</v>
      </c>
      <c r="F272" s="298">
        <v>0.82499999999999996</v>
      </c>
      <c r="G272" s="299">
        <f t="shared" si="25"/>
        <v>2026.44</v>
      </c>
      <c r="H272" s="299">
        <f t="shared" si="26"/>
        <v>2148.0264000000002</v>
      </c>
      <c r="I272" s="299">
        <f t="shared" si="27"/>
        <v>2188.5551999999998</v>
      </c>
      <c r="J272" s="299">
        <f t="shared" si="28"/>
        <v>2229.0839999999998</v>
      </c>
    </row>
    <row r="273" spans="1:10" x14ac:dyDescent="0.2">
      <c r="A273" s="297">
        <v>264</v>
      </c>
      <c r="B273" s="297">
        <v>154</v>
      </c>
      <c r="C273" s="298">
        <v>0.75</v>
      </c>
      <c r="D273" s="298">
        <v>0.79500000000000004</v>
      </c>
      <c r="E273" s="298">
        <v>0.81</v>
      </c>
      <c r="F273" s="298">
        <v>0.82499999999999996</v>
      </c>
      <c r="G273" s="299">
        <f t="shared" si="25"/>
        <v>2035.44</v>
      </c>
      <c r="H273" s="299">
        <f t="shared" si="26"/>
        <v>2157.5664000000002</v>
      </c>
      <c r="I273" s="299">
        <f t="shared" si="27"/>
        <v>2198.2752</v>
      </c>
      <c r="J273" s="299">
        <f t="shared" si="28"/>
        <v>2238.9839999999999</v>
      </c>
    </row>
    <row r="274" spans="1:10" x14ac:dyDescent="0.2">
      <c r="A274" s="297">
        <v>265</v>
      </c>
      <c r="B274" s="297">
        <v>155</v>
      </c>
      <c r="C274" s="298">
        <v>0.75</v>
      </c>
      <c r="D274" s="298">
        <v>0.79500000000000004</v>
      </c>
      <c r="E274" s="298">
        <v>0.81</v>
      </c>
      <c r="F274" s="298">
        <v>0.82499999999999996</v>
      </c>
      <c r="G274" s="299">
        <f t="shared" si="25"/>
        <v>2044.44</v>
      </c>
      <c r="H274" s="299">
        <f t="shared" si="26"/>
        <v>2167.1064000000001</v>
      </c>
      <c r="I274" s="299">
        <f t="shared" si="27"/>
        <v>2207.9952000000003</v>
      </c>
      <c r="J274" s="299">
        <f t="shared" si="28"/>
        <v>2248.884</v>
      </c>
    </row>
    <row r="275" spans="1:10" x14ac:dyDescent="0.2">
      <c r="A275" s="297">
        <v>266</v>
      </c>
      <c r="B275" s="297">
        <v>156</v>
      </c>
      <c r="C275" s="298">
        <v>0.75</v>
      </c>
      <c r="D275" s="298">
        <v>0.79500000000000004</v>
      </c>
      <c r="E275" s="298">
        <v>0.81</v>
      </c>
      <c r="F275" s="298">
        <v>0.82499999999999996</v>
      </c>
      <c r="G275" s="299">
        <f t="shared" si="25"/>
        <v>2053.44</v>
      </c>
      <c r="H275" s="299">
        <f t="shared" si="26"/>
        <v>2176.6464000000001</v>
      </c>
      <c r="I275" s="299">
        <f t="shared" si="27"/>
        <v>2217.7152000000001</v>
      </c>
      <c r="J275" s="299">
        <f t="shared" si="28"/>
        <v>2258.7839999999997</v>
      </c>
    </row>
    <row r="276" spans="1:10" x14ac:dyDescent="0.2">
      <c r="A276" s="297">
        <v>267</v>
      </c>
      <c r="B276" s="297">
        <v>157</v>
      </c>
      <c r="C276" s="298">
        <v>0.75</v>
      </c>
      <c r="D276" s="298">
        <v>0.79500000000000004</v>
      </c>
      <c r="E276" s="298">
        <v>0.81</v>
      </c>
      <c r="F276" s="298">
        <v>0.82499999999999996</v>
      </c>
      <c r="G276" s="299">
        <f t="shared" si="25"/>
        <v>2062.44</v>
      </c>
      <c r="H276" s="299">
        <f t="shared" si="26"/>
        <v>2186.1864</v>
      </c>
      <c r="I276" s="299">
        <f t="shared" si="27"/>
        <v>2227.4351999999999</v>
      </c>
      <c r="J276" s="299">
        <f t="shared" si="28"/>
        <v>2268.6840000000002</v>
      </c>
    </row>
    <row r="277" spans="1:10" x14ac:dyDescent="0.2">
      <c r="A277" s="297">
        <v>268</v>
      </c>
      <c r="B277" s="297">
        <v>158</v>
      </c>
      <c r="C277" s="298">
        <v>0.75</v>
      </c>
      <c r="D277" s="298">
        <v>0.79500000000000004</v>
      </c>
      <c r="E277" s="298">
        <v>0.81</v>
      </c>
      <c r="F277" s="298">
        <v>0.82499999999999996</v>
      </c>
      <c r="G277" s="299">
        <f t="shared" si="25"/>
        <v>2071.44</v>
      </c>
      <c r="H277" s="299">
        <f t="shared" si="26"/>
        <v>2195.7264</v>
      </c>
      <c r="I277" s="299">
        <f t="shared" si="27"/>
        <v>2237.1552000000001</v>
      </c>
      <c r="J277" s="299">
        <f t="shared" si="28"/>
        <v>2278.5839999999998</v>
      </c>
    </row>
    <row r="278" spans="1:10" x14ac:dyDescent="0.2">
      <c r="A278" s="297">
        <v>269</v>
      </c>
      <c r="B278" s="297">
        <v>159</v>
      </c>
      <c r="C278" s="298">
        <v>0.75</v>
      </c>
      <c r="D278" s="298">
        <v>0.79500000000000004</v>
      </c>
      <c r="E278" s="298">
        <v>0.81</v>
      </c>
      <c r="F278" s="298">
        <v>0.82499999999999996</v>
      </c>
      <c r="G278" s="299">
        <f t="shared" si="25"/>
        <v>2080.44</v>
      </c>
      <c r="H278" s="299">
        <f t="shared" si="26"/>
        <v>2205.2664</v>
      </c>
      <c r="I278" s="299">
        <f t="shared" si="27"/>
        <v>2246.8752000000004</v>
      </c>
      <c r="J278" s="299">
        <f t="shared" si="28"/>
        <v>2288.4839999999999</v>
      </c>
    </row>
    <row r="279" spans="1:10" x14ac:dyDescent="0.2">
      <c r="A279" s="297">
        <v>270</v>
      </c>
      <c r="B279" s="297">
        <v>160</v>
      </c>
      <c r="C279" s="298">
        <v>0.75</v>
      </c>
      <c r="D279" s="298">
        <v>0.79500000000000004</v>
      </c>
      <c r="E279" s="298">
        <v>0.81</v>
      </c>
      <c r="F279" s="298">
        <v>0.82499999999999996</v>
      </c>
      <c r="G279" s="299">
        <f t="shared" si="25"/>
        <v>2089.44</v>
      </c>
      <c r="H279" s="299">
        <f t="shared" si="26"/>
        <v>2214.8063999999999</v>
      </c>
      <c r="I279" s="299">
        <f t="shared" si="27"/>
        <v>2256.5952000000002</v>
      </c>
      <c r="J279" s="299">
        <f t="shared" si="28"/>
        <v>2298.384</v>
      </c>
    </row>
    <row r="280" spans="1:10" x14ac:dyDescent="0.2">
      <c r="A280" s="297">
        <v>271</v>
      </c>
      <c r="B280" s="297">
        <v>161</v>
      </c>
      <c r="C280" s="298">
        <v>0.75</v>
      </c>
      <c r="D280" s="298">
        <v>0.79500000000000004</v>
      </c>
      <c r="E280" s="298">
        <v>0.81</v>
      </c>
      <c r="F280" s="298">
        <v>0.82499999999999996</v>
      </c>
      <c r="G280" s="299">
        <f t="shared" si="25"/>
        <v>2098.44</v>
      </c>
      <c r="H280" s="299">
        <f t="shared" si="26"/>
        <v>2224.3463999999999</v>
      </c>
      <c r="I280" s="299">
        <f t="shared" si="27"/>
        <v>2266.3152</v>
      </c>
      <c r="J280" s="299">
        <f t="shared" si="28"/>
        <v>2308.2839999999997</v>
      </c>
    </row>
    <row r="281" spans="1:10" x14ac:dyDescent="0.2">
      <c r="A281" s="297">
        <v>272</v>
      </c>
      <c r="B281" s="297">
        <v>162</v>
      </c>
      <c r="C281" s="298">
        <v>0.75</v>
      </c>
      <c r="D281" s="298">
        <v>0.79500000000000004</v>
      </c>
      <c r="E281" s="298">
        <v>0.81</v>
      </c>
      <c r="F281" s="298">
        <v>0.82499999999999996</v>
      </c>
      <c r="G281" s="299">
        <f t="shared" si="25"/>
        <v>2107.44</v>
      </c>
      <c r="H281" s="299">
        <f t="shared" si="26"/>
        <v>2233.8864000000003</v>
      </c>
      <c r="I281" s="299">
        <f t="shared" si="27"/>
        <v>2276.0351999999998</v>
      </c>
      <c r="J281" s="299">
        <f t="shared" si="28"/>
        <v>2318.1840000000002</v>
      </c>
    </row>
    <row r="282" spans="1:10" x14ac:dyDescent="0.2">
      <c r="A282" s="297">
        <v>273</v>
      </c>
      <c r="B282" s="297">
        <v>163</v>
      </c>
      <c r="C282" s="298">
        <v>0.75</v>
      </c>
      <c r="D282" s="298">
        <v>0.79500000000000004</v>
      </c>
      <c r="E282" s="298">
        <v>0.81</v>
      </c>
      <c r="F282" s="298">
        <v>0.82499999999999996</v>
      </c>
      <c r="G282" s="299">
        <f t="shared" si="25"/>
        <v>2116.44</v>
      </c>
      <c r="H282" s="299">
        <f t="shared" si="26"/>
        <v>2243.4263999999998</v>
      </c>
      <c r="I282" s="299">
        <f t="shared" si="27"/>
        <v>2285.7552000000001</v>
      </c>
      <c r="J282" s="299">
        <f t="shared" si="28"/>
        <v>2328.0839999999998</v>
      </c>
    </row>
    <row r="283" spans="1:10" x14ac:dyDescent="0.2">
      <c r="A283" s="297">
        <v>274</v>
      </c>
      <c r="B283" s="297">
        <v>164</v>
      </c>
      <c r="C283" s="298">
        <v>0.75</v>
      </c>
      <c r="D283" s="298">
        <v>0.79500000000000004</v>
      </c>
      <c r="E283" s="298">
        <v>0.81</v>
      </c>
      <c r="F283" s="298">
        <v>0.82499999999999996</v>
      </c>
      <c r="G283" s="299">
        <f t="shared" si="25"/>
        <v>2125.44</v>
      </c>
      <c r="H283" s="299">
        <f t="shared" si="26"/>
        <v>2252.9663999999998</v>
      </c>
      <c r="I283" s="299">
        <f t="shared" si="27"/>
        <v>2295.4751999999999</v>
      </c>
      <c r="J283" s="299">
        <f t="shared" si="28"/>
        <v>2337.9839999999999</v>
      </c>
    </row>
    <row r="284" spans="1:10" x14ac:dyDescent="0.2">
      <c r="A284" s="297">
        <v>275</v>
      </c>
      <c r="B284" s="297">
        <v>165</v>
      </c>
      <c r="C284" s="298">
        <v>0.75</v>
      </c>
      <c r="D284" s="298">
        <v>0.79500000000000004</v>
      </c>
      <c r="E284" s="298">
        <v>0.81</v>
      </c>
      <c r="F284" s="298">
        <v>0.82499999999999996</v>
      </c>
      <c r="G284" s="299">
        <f t="shared" si="25"/>
        <v>2134.44</v>
      </c>
      <c r="H284" s="299">
        <f t="shared" si="26"/>
        <v>2262.5064000000002</v>
      </c>
      <c r="I284" s="299">
        <f t="shared" si="27"/>
        <v>2305.1952000000001</v>
      </c>
      <c r="J284" s="299">
        <f t="shared" si="28"/>
        <v>2347.884</v>
      </c>
    </row>
    <row r="285" spans="1:10" x14ac:dyDescent="0.2">
      <c r="A285" s="297">
        <v>276</v>
      </c>
      <c r="B285" s="297">
        <v>166</v>
      </c>
      <c r="C285" s="298">
        <v>0.75</v>
      </c>
      <c r="D285" s="298">
        <v>0.79500000000000004</v>
      </c>
      <c r="E285" s="298">
        <v>0.81</v>
      </c>
      <c r="F285" s="298">
        <v>0.82499999999999996</v>
      </c>
      <c r="G285" s="299">
        <f t="shared" si="25"/>
        <v>2143.44</v>
      </c>
      <c r="H285" s="299">
        <f t="shared" si="26"/>
        <v>2272.0463999999997</v>
      </c>
      <c r="I285" s="299">
        <f t="shared" si="27"/>
        <v>2314.9151999999999</v>
      </c>
      <c r="J285" s="299">
        <f t="shared" si="28"/>
        <v>2357.7839999999997</v>
      </c>
    </row>
    <row r="286" spans="1:10" x14ac:dyDescent="0.2">
      <c r="A286" s="297">
        <v>277</v>
      </c>
      <c r="B286" s="297">
        <v>167</v>
      </c>
      <c r="C286" s="298">
        <v>0.75</v>
      </c>
      <c r="D286" s="298">
        <v>0.79500000000000004</v>
      </c>
      <c r="E286" s="298">
        <v>0.81</v>
      </c>
      <c r="F286" s="298">
        <v>0.82499999999999996</v>
      </c>
      <c r="G286" s="299">
        <f t="shared" si="25"/>
        <v>2152.44</v>
      </c>
      <c r="H286" s="299">
        <f t="shared" si="26"/>
        <v>2281.5864000000001</v>
      </c>
      <c r="I286" s="299">
        <f t="shared" si="27"/>
        <v>2324.6352000000002</v>
      </c>
      <c r="J286" s="299">
        <f t="shared" si="28"/>
        <v>2367.6840000000002</v>
      </c>
    </row>
    <row r="287" spans="1:10" x14ac:dyDescent="0.2">
      <c r="A287" s="297">
        <v>278</v>
      </c>
      <c r="B287" s="297">
        <v>168</v>
      </c>
      <c r="C287" s="298">
        <v>0.75</v>
      </c>
      <c r="D287" s="298">
        <v>0.79500000000000004</v>
      </c>
      <c r="E287" s="298">
        <v>0.81</v>
      </c>
      <c r="F287" s="298">
        <v>0.82499999999999996</v>
      </c>
      <c r="G287" s="299">
        <f t="shared" si="25"/>
        <v>2161.44</v>
      </c>
      <c r="H287" s="299">
        <f t="shared" si="26"/>
        <v>2291.1264000000001</v>
      </c>
      <c r="I287" s="299">
        <f t="shared" si="27"/>
        <v>2334.3552</v>
      </c>
      <c r="J287" s="299">
        <f t="shared" si="28"/>
        <v>2377.5839999999998</v>
      </c>
    </row>
    <row r="288" spans="1:10" x14ac:dyDescent="0.2">
      <c r="A288" s="297">
        <v>279</v>
      </c>
      <c r="B288" s="297">
        <v>169</v>
      </c>
      <c r="C288" s="298">
        <v>0.75</v>
      </c>
      <c r="D288" s="298">
        <v>0.79500000000000004</v>
      </c>
      <c r="E288" s="298">
        <v>0.81</v>
      </c>
      <c r="F288" s="298">
        <v>0.82499999999999996</v>
      </c>
      <c r="G288" s="299">
        <f t="shared" si="25"/>
        <v>2170.44</v>
      </c>
      <c r="H288" s="299">
        <f t="shared" si="26"/>
        <v>2300.6664000000001</v>
      </c>
      <c r="I288" s="299">
        <f t="shared" si="27"/>
        <v>2344.0752000000002</v>
      </c>
      <c r="J288" s="299">
        <f t="shared" si="28"/>
        <v>2387.4839999999999</v>
      </c>
    </row>
    <row r="289" spans="1:10" x14ac:dyDescent="0.2">
      <c r="A289" s="297">
        <v>280</v>
      </c>
      <c r="B289" s="297">
        <v>170</v>
      </c>
      <c r="C289" s="298">
        <v>0.75</v>
      </c>
      <c r="D289" s="298">
        <v>0.79500000000000004</v>
      </c>
      <c r="E289" s="298">
        <v>0.81</v>
      </c>
      <c r="F289" s="298">
        <v>0.82499999999999996</v>
      </c>
      <c r="G289" s="299">
        <f t="shared" si="25"/>
        <v>2179.44</v>
      </c>
      <c r="H289" s="299">
        <f t="shared" si="26"/>
        <v>2310.2064</v>
      </c>
      <c r="I289" s="299">
        <f t="shared" si="27"/>
        <v>2353.7952</v>
      </c>
      <c r="J289" s="299">
        <f t="shared" si="28"/>
        <v>2397.384</v>
      </c>
    </row>
    <row r="290" spans="1:10" x14ac:dyDescent="0.2">
      <c r="A290" s="297">
        <v>281</v>
      </c>
      <c r="B290" s="297">
        <v>171</v>
      </c>
      <c r="C290" s="298">
        <v>0.75</v>
      </c>
      <c r="D290" s="298">
        <v>0.79500000000000004</v>
      </c>
      <c r="E290" s="298">
        <v>0.81</v>
      </c>
      <c r="F290" s="298">
        <v>0.82499999999999996</v>
      </c>
      <c r="G290" s="299">
        <f t="shared" si="25"/>
        <v>2188.44</v>
      </c>
      <c r="H290" s="299">
        <f t="shared" si="26"/>
        <v>2319.7464</v>
      </c>
      <c r="I290" s="299">
        <f t="shared" si="27"/>
        <v>2363.5152000000003</v>
      </c>
      <c r="J290" s="299">
        <f t="shared" si="28"/>
        <v>2407.2839999999997</v>
      </c>
    </row>
    <row r="291" spans="1:10" x14ac:dyDescent="0.2">
      <c r="A291" s="297">
        <v>282</v>
      </c>
      <c r="B291" s="297">
        <v>172</v>
      </c>
      <c r="C291" s="298">
        <v>0.75</v>
      </c>
      <c r="D291" s="298">
        <v>0.79500000000000004</v>
      </c>
      <c r="E291" s="298">
        <v>0.81</v>
      </c>
      <c r="F291" s="298">
        <v>0.82499999999999996</v>
      </c>
      <c r="G291" s="299">
        <f t="shared" si="25"/>
        <v>2197.44</v>
      </c>
      <c r="H291" s="299">
        <f t="shared" si="26"/>
        <v>2329.2864</v>
      </c>
      <c r="I291" s="299">
        <f t="shared" si="27"/>
        <v>2373.2352000000001</v>
      </c>
      <c r="J291" s="299">
        <f t="shared" si="28"/>
        <v>2417.1840000000002</v>
      </c>
    </row>
    <row r="292" spans="1:10" x14ac:dyDescent="0.2">
      <c r="A292" s="297">
        <v>283</v>
      </c>
      <c r="B292" s="297">
        <v>173</v>
      </c>
      <c r="C292" s="298">
        <v>0.75</v>
      </c>
      <c r="D292" s="298">
        <v>0.79500000000000004</v>
      </c>
      <c r="E292" s="298">
        <v>0.81</v>
      </c>
      <c r="F292" s="298">
        <v>0.82499999999999996</v>
      </c>
      <c r="G292" s="299">
        <f t="shared" si="25"/>
        <v>2206.44</v>
      </c>
      <c r="H292" s="299">
        <f t="shared" si="26"/>
        <v>2338.8263999999999</v>
      </c>
      <c r="I292" s="299">
        <f t="shared" si="27"/>
        <v>2382.9551999999999</v>
      </c>
      <c r="J292" s="299">
        <f t="shared" si="28"/>
        <v>2427.0839999999998</v>
      </c>
    </row>
    <row r="293" spans="1:10" x14ac:dyDescent="0.2">
      <c r="A293" s="297">
        <v>284</v>
      </c>
      <c r="B293" s="297">
        <v>174</v>
      </c>
      <c r="C293" s="298">
        <v>0.75</v>
      </c>
      <c r="D293" s="298">
        <v>0.79500000000000004</v>
      </c>
      <c r="E293" s="298">
        <v>0.81</v>
      </c>
      <c r="F293" s="298">
        <v>0.82499999999999996</v>
      </c>
      <c r="G293" s="299">
        <f t="shared" si="25"/>
        <v>2215.44</v>
      </c>
      <c r="H293" s="299">
        <f t="shared" si="26"/>
        <v>2348.3663999999999</v>
      </c>
      <c r="I293" s="299">
        <f t="shared" si="27"/>
        <v>2392.6751999999997</v>
      </c>
      <c r="J293" s="299">
        <f t="shared" si="28"/>
        <v>2436.9839999999999</v>
      </c>
    </row>
    <row r="294" spans="1:10" x14ac:dyDescent="0.2">
      <c r="A294" s="297">
        <v>285</v>
      </c>
      <c r="B294" s="297">
        <v>175</v>
      </c>
      <c r="C294" s="298">
        <v>0.75</v>
      </c>
      <c r="D294" s="298">
        <v>0.79500000000000004</v>
      </c>
      <c r="E294" s="298">
        <v>0.81</v>
      </c>
      <c r="F294" s="298">
        <v>0.82499999999999996</v>
      </c>
      <c r="G294" s="299">
        <f t="shared" si="25"/>
        <v>2224.44</v>
      </c>
      <c r="H294" s="299">
        <f t="shared" si="26"/>
        <v>2357.9063999999998</v>
      </c>
      <c r="I294" s="299">
        <f t="shared" si="27"/>
        <v>2402.3951999999999</v>
      </c>
      <c r="J294" s="299">
        <f t="shared" si="28"/>
        <v>2446.884</v>
      </c>
    </row>
    <row r="295" spans="1:10" x14ac:dyDescent="0.2">
      <c r="A295" s="297">
        <v>286</v>
      </c>
      <c r="B295" s="297">
        <v>176</v>
      </c>
      <c r="C295" s="298">
        <v>0.75</v>
      </c>
      <c r="D295" s="298">
        <v>0.79500000000000004</v>
      </c>
      <c r="E295" s="298">
        <v>0.81</v>
      </c>
      <c r="F295" s="298">
        <v>0.82499999999999996</v>
      </c>
      <c r="G295" s="299">
        <f t="shared" si="25"/>
        <v>2233.44</v>
      </c>
      <c r="H295" s="299">
        <f t="shared" si="26"/>
        <v>2367.4464000000003</v>
      </c>
      <c r="I295" s="299">
        <f t="shared" si="27"/>
        <v>2412.1152000000002</v>
      </c>
      <c r="J295" s="299">
        <f t="shared" si="28"/>
        <v>2456.7839999999997</v>
      </c>
    </row>
    <row r="296" spans="1:10" x14ac:dyDescent="0.2">
      <c r="A296" s="297">
        <v>287</v>
      </c>
      <c r="B296" s="297">
        <v>177</v>
      </c>
      <c r="C296" s="298">
        <v>0.75</v>
      </c>
      <c r="D296" s="298">
        <v>0.79500000000000004</v>
      </c>
      <c r="E296" s="298">
        <v>0.81</v>
      </c>
      <c r="F296" s="298">
        <v>0.82499999999999996</v>
      </c>
      <c r="G296" s="299">
        <f t="shared" si="25"/>
        <v>2242.44</v>
      </c>
      <c r="H296" s="299">
        <f t="shared" si="26"/>
        <v>2376.9863999999998</v>
      </c>
      <c r="I296" s="299">
        <f t="shared" si="27"/>
        <v>2421.8352</v>
      </c>
      <c r="J296" s="299">
        <f t="shared" si="28"/>
        <v>2466.6840000000002</v>
      </c>
    </row>
    <row r="297" spans="1:10" x14ac:dyDescent="0.2">
      <c r="A297" s="297">
        <v>288</v>
      </c>
      <c r="B297" s="297">
        <v>178</v>
      </c>
      <c r="C297" s="298">
        <v>0.75</v>
      </c>
      <c r="D297" s="298">
        <v>0.79500000000000004</v>
      </c>
      <c r="E297" s="298">
        <v>0.81</v>
      </c>
      <c r="F297" s="298">
        <v>0.82499999999999996</v>
      </c>
      <c r="G297" s="299">
        <f t="shared" si="25"/>
        <v>2251.44</v>
      </c>
      <c r="H297" s="299">
        <f t="shared" si="26"/>
        <v>2386.5264000000002</v>
      </c>
      <c r="I297" s="299">
        <f t="shared" si="27"/>
        <v>2431.5551999999998</v>
      </c>
      <c r="J297" s="299">
        <f t="shared" si="28"/>
        <v>2476.5839999999998</v>
      </c>
    </row>
    <row r="298" spans="1:10" x14ac:dyDescent="0.2">
      <c r="A298" s="297">
        <v>289</v>
      </c>
      <c r="B298" s="297">
        <v>179</v>
      </c>
      <c r="C298" s="298">
        <v>0.75</v>
      </c>
      <c r="D298" s="298">
        <v>0.79500000000000004</v>
      </c>
      <c r="E298" s="298">
        <v>0.81</v>
      </c>
      <c r="F298" s="298">
        <v>0.82499999999999996</v>
      </c>
      <c r="G298" s="299">
        <f t="shared" si="25"/>
        <v>2260.44</v>
      </c>
      <c r="H298" s="299">
        <f t="shared" si="26"/>
        <v>2396.0664000000002</v>
      </c>
      <c r="I298" s="299">
        <f t="shared" si="27"/>
        <v>2441.2752</v>
      </c>
      <c r="J298" s="299">
        <f t="shared" si="28"/>
        <v>2486.4839999999999</v>
      </c>
    </row>
    <row r="299" spans="1:10" x14ac:dyDescent="0.2">
      <c r="A299" s="297">
        <v>290</v>
      </c>
      <c r="B299" s="297">
        <v>180</v>
      </c>
      <c r="C299" s="298">
        <v>0.75</v>
      </c>
      <c r="D299" s="298">
        <v>0.79500000000000004</v>
      </c>
      <c r="E299" s="298">
        <v>0.81</v>
      </c>
      <c r="F299" s="298">
        <v>0.82499999999999996</v>
      </c>
      <c r="G299" s="299">
        <f t="shared" si="25"/>
        <v>2269.44</v>
      </c>
      <c r="H299" s="299">
        <f t="shared" si="26"/>
        <v>2405.6063999999997</v>
      </c>
      <c r="I299" s="299">
        <f t="shared" si="27"/>
        <v>2450.9952000000003</v>
      </c>
      <c r="J299" s="299">
        <f t="shared" si="28"/>
        <v>2496.384</v>
      </c>
    </row>
    <row r="300" spans="1:10" x14ac:dyDescent="0.2">
      <c r="A300" s="297">
        <v>291</v>
      </c>
      <c r="B300" s="297">
        <v>181</v>
      </c>
      <c r="C300" s="298">
        <v>0.75</v>
      </c>
      <c r="D300" s="298">
        <v>0.79500000000000004</v>
      </c>
      <c r="E300" s="298">
        <v>0.81</v>
      </c>
      <c r="F300" s="298">
        <v>0.82499999999999996</v>
      </c>
      <c r="G300" s="299">
        <f t="shared" si="25"/>
        <v>2278.44</v>
      </c>
      <c r="H300" s="299">
        <f t="shared" si="26"/>
        <v>2415.1464000000001</v>
      </c>
      <c r="I300" s="299">
        <f t="shared" si="27"/>
        <v>2460.7152000000001</v>
      </c>
      <c r="J300" s="299">
        <f t="shared" si="28"/>
        <v>2506.2839999999997</v>
      </c>
    </row>
    <row r="301" spans="1:10" x14ac:dyDescent="0.2">
      <c r="A301" s="297">
        <v>292</v>
      </c>
      <c r="B301" s="297">
        <v>182</v>
      </c>
      <c r="C301" s="298">
        <v>0.75</v>
      </c>
      <c r="D301" s="298">
        <v>0.79500000000000004</v>
      </c>
      <c r="E301" s="298">
        <v>0.81</v>
      </c>
      <c r="F301" s="298">
        <v>0.82499999999999996</v>
      </c>
      <c r="G301" s="299">
        <f t="shared" si="25"/>
        <v>2287.44</v>
      </c>
      <c r="H301" s="299">
        <f t="shared" si="26"/>
        <v>2424.6864</v>
      </c>
      <c r="I301" s="299">
        <f t="shared" si="27"/>
        <v>2470.4351999999999</v>
      </c>
      <c r="J301" s="299">
        <f t="shared" si="28"/>
        <v>2516.1840000000002</v>
      </c>
    </row>
    <row r="302" spans="1:10" x14ac:dyDescent="0.2">
      <c r="A302" s="297">
        <v>293</v>
      </c>
      <c r="B302" s="297">
        <v>183</v>
      </c>
      <c r="C302" s="298">
        <v>0.75</v>
      </c>
      <c r="D302" s="298">
        <v>0.79500000000000004</v>
      </c>
      <c r="E302" s="298">
        <v>0.81</v>
      </c>
      <c r="F302" s="298">
        <v>0.82499999999999996</v>
      </c>
      <c r="G302" s="299">
        <f t="shared" si="25"/>
        <v>2296.44</v>
      </c>
      <c r="H302" s="299">
        <f t="shared" si="26"/>
        <v>2434.2264</v>
      </c>
      <c r="I302" s="299">
        <f t="shared" si="27"/>
        <v>2480.1552000000001</v>
      </c>
      <c r="J302" s="299">
        <f t="shared" si="28"/>
        <v>2526.0839999999998</v>
      </c>
    </row>
    <row r="303" spans="1:10" x14ac:dyDescent="0.2">
      <c r="A303" s="297">
        <v>294</v>
      </c>
      <c r="B303" s="297">
        <v>184</v>
      </c>
      <c r="C303" s="298">
        <v>0.75</v>
      </c>
      <c r="D303" s="298">
        <v>0.79500000000000004</v>
      </c>
      <c r="E303" s="298">
        <v>0.81</v>
      </c>
      <c r="F303" s="298">
        <v>0.82499999999999996</v>
      </c>
      <c r="G303" s="299">
        <f t="shared" si="25"/>
        <v>2305.44</v>
      </c>
      <c r="H303" s="299">
        <f t="shared" si="26"/>
        <v>2443.7664</v>
      </c>
      <c r="I303" s="299">
        <f t="shared" si="27"/>
        <v>2489.8752000000004</v>
      </c>
      <c r="J303" s="299">
        <f t="shared" si="28"/>
        <v>2535.9839999999999</v>
      </c>
    </row>
    <row r="304" spans="1:10" x14ac:dyDescent="0.2">
      <c r="A304" s="297">
        <v>295</v>
      </c>
      <c r="B304" s="297">
        <v>185</v>
      </c>
      <c r="C304" s="298">
        <v>0.75</v>
      </c>
      <c r="D304" s="298">
        <v>0.79500000000000004</v>
      </c>
      <c r="E304" s="298">
        <v>0.81</v>
      </c>
      <c r="F304" s="298">
        <v>0.82499999999999996</v>
      </c>
      <c r="G304" s="299">
        <f t="shared" si="25"/>
        <v>2314.44</v>
      </c>
      <c r="H304" s="299">
        <f t="shared" si="26"/>
        <v>2453.3063999999999</v>
      </c>
      <c r="I304" s="299">
        <f t="shared" si="27"/>
        <v>2499.5952000000002</v>
      </c>
      <c r="J304" s="299">
        <f t="shared" si="28"/>
        <v>2545.884</v>
      </c>
    </row>
    <row r="305" spans="1:10" x14ac:dyDescent="0.2">
      <c r="A305" s="297">
        <v>296</v>
      </c>
      <c r="B305" s="297">
        <v>186</v>
      </c>
      <c r="C305" s="298">
        <v>0.75</v>
      </c>
      <c r="D305" s="298">
        <v>0.79500000000000004</v>
      </c>
      <c r="E305" s="298">
        <v>0.81</v>
      </c>
      <c r="F305" s="298">
        <v>0.82499999999999996</v>
      </c>
      <c r="G305" s="299">
        <f t="shared" si="25"/>
        <v>2323.44</v>
      </c>
      <c r="H305" s="299">
        <f t="shared" si="26"/>
        <v>2462.8463999999999</v>
      </c>
      <c r="I305" s="299">
        <f t="shared" si="27"/>
        <v>2509.3152</v>
      </c>
      <c r="J305" s="299">
        <f t="shared" si="28"/>
        <v>2555.7839999999997</v>
      </c>
    </row>
    <row r="306" spans="1:10" x14ac:dyDescent="0.2">
      <c r="A306" s="297">
        <v>297</v>
      </c>
      <c r="B306" s="297">
        <v>187</v>
      </c>
      <c r="C306" s="298">
        <v>0.75</v>
      </c>
      <c r="D306" s="298">
        <v>0.79500000000000004</v>
      </c>
      <c r="E306" s="298">
        <v>0.81</v>
      </c>
      <c r="F306" s="298">
        <v>0.82499999999999996</v>
      </c>
      <c r="G306" s="299">
        <f t="shared" si="25"/>
        <v>2332.44</v>
      </c>
      <c r="H306" s="299">
        <f t="shared" si="26"/>
        <v>2472.3864000000003</v>
      </c>
      <c r="I306" s="299">
        <f t="shared" si="27"/>
        <v>2519.0351999999998</v>
      </c>
      <c r="J306" s="299">
        <f t="shared" si="28"/>
        <v>2565.6840000000002</v>
      </c>
    </row>
    <row r="307" spans="1:10" x14ac:dyDescent="0.2">
      <c r="A307" s="297">
        <v>298</v>
      </c>
      <c r="B307" s="297">
        <v>188</v>
      </c>
      <c r="C307" s="298">
        <v>0.75</v>
      </c>
      <c r="D307" s="298">
        <v>0.79500000000000004</v>
      </c>
      <c r="E307" s="298">
        <v>0.81</v>
      </c>
      <c r="F307" s="298">
        <v>0.82499999999999996</v>
      </c>
      <c r="G307" s="299">
        <f t="shared" si="25"/>
        <v>2341.44</v>
      </c>
      <c r="H307" s="299">
        <f t="shared" si="26"/>
        <v>2481.9263999999998</v>
      </c>
      <c r="I307" s="299">
        <f t="shared" si="27"/>
        <v>2528.7552000000001</v>
      </c>
      <c r="J307" s="299">
        <f t="shared" si="28"/>
        <v>2575.5839999999998</v>
      </c>
    </row>
    <row r="308" spans="1:10" x14ac:dyDescent="0.2">
      <c r="A308" s="297">
        <v>299</v>
      </c>
      <c r="B308" s="297">
        <v>189</v>
      </c>
      <c r="C308" s="298">
        <v>0.75</v>
      </c>
      <c r="D308" s="298">
        <v>0.79500000000000004</v>
      </c>
      <c r="E308" s="298">
        <v>0.81</v>
      </c>
      <c r="F308" s="298">
        <v>0.82499999999999996</v>
      </c>
      <c r="G308" s="299">
        <f t="shared" si="25"/>
        <v>2350.44</v>
      </c>
      <c r="H308" s="299">
        <f t="shared" si="26"/>
        <v>2491.4663999999998</v>
      </c>
      <c r="I308" s="299">
        <f t="shared" si="27"/>
        <v>2538.4751999999999</v>
      </c>
      <c r="J308" s="299">
        <f t="shared" si="28"/>
        <v>2585.4839999999999</v>
      </c>
    </row>
    <row r="309" spans="1:10" x14ac:dyDescent="0.2">
      <c r="A309" s="297">
        <v>300</v>
      </c>
      <c r="B309" s="297">
        <v>190</v>
      </c>
      <c r="C309" s="298">
        <v>0.75</v>
      </c>
      <c r="D309" s="298">
        <v>0.79500000000000004</v>
      </c>
      <c r="E309" s="298">
        <v>0.81</v>
      </c>
      <c r="F309" s="298">
        <v>0.82499999999999996</v>
      </c>
      <c r="G309" s="299">
        <f t="shared" si="25"/>
        <v>2359.44</v>
      </c>
      <c r="H309" s="299">
        <f t="shared" si="26"/>
        <v>2501.0064000000002</v>
      </c>
      <c r="I309" s="299">
        <f t="shared" si="27"/>
        <v>2548.1952000000001</v>
      </c>
      <c r="J309" s="299">
        <f t="shared" si="28"/>
        <v>2595.384</v>
      </c>
    </row>
    <row r="310" spans="1:10" x14ac:dyDescent="0.2">
      <c r="A310" s="297">
        <v>301</v>
      </c>
      <c r="B310" s="297">
        <v>191</v>
      </c>
      <c r="C310" s="298">
        <v>0.75</v>
      </c>
      <c r="D310" s="298">
        <v>0.79500000000000004</v>
      </c>
      <c r="E310" s="298">
        <v>0.81</v>
      </c>
      <c r="F310" s="298">
        <v>0.82499999999999996</v>
      </c>
      <c r="G310" s="299">
        <f t="shared" si="25"/>
        <v>2368.44</v>
      </c>
      <c r="H310" s="299">
        <f t="shared" si="26"/>
        <v>2510.5463999999997</v>
      </c>
      <c r="I310" s="299">
        <f t="shared" si="27"/>
        <v>2557.9151999999999</v>
      </c>
      <c r="J310" s="299">
        <f t="shared" si="28"/>
        <v>2605.2839999999997</v>
      </c>
    </row>
    <row r="311" spans="1:10" x14ac:dyDescent="0.2">
      <c r="A311" s="297">
        <v>302</v>
      </c>
      <c r="B311" s="297">
        <v>192</v>
      </c>
      <c r="C311" s="298">
        <v>0.75</v>
      </c>
      <c r="D311" s="298">
        <v>0.79500000000000004</v>
      </c>
      <c r="E311" s="298">
        <v>0.81</v>
      </c>
      <c r="F311" s="298">
        <v>0.82499999999999996</v>
      </c>
      <c r="G311" s="299">
        <f t="shared" si="25"/>
        <v>2377.44</v>
      </c>
      <c r="H311" s="299">
        <f t="shared" si="26"/>
        <v>2520.0864000000001</v>
      </c>
      <c r="I311" s="299">
        <f t="shared" si="27"/>
        <v>2567.6352000000002</v>
      </c>
      <c r="J311" s="299">
        <f t="shared" si="28"/>
        <v>2615.1839999999997</v>
      </c>
    </row>
    <row r="312" spans="1:10" x14ac:dyDescent="0.2">
      <c r="A312" s="297">
        <v>303</v>
      </c>
      <c r="B312" s="297">
        <v>193</v>
      </c>
      <c r="C312" s="298">
        <v>0.75</v>
      </c>
      <c r="D312" s="298">
        <v>0.79500000000000004</v>
      </c>
      <c r="E312" s="298">
        <v>0.81</v>
      </c>
      <c r="F312" s="298">
        <v>0.82499999999999996</v>
      </c>
      <c r="G312" s="299">
        <f t="shared" si="25"/>
        <v>2386.44</v>
      </c>
      <c r="H312" s="299">
        <f t="shared" si="26"/>
        <v>2529.6264000000001</v>
      </c>
      <c r="I312" s="299">
        <f t="shared" si="27"/>
        <v>2577.3552</v>
      </c>
      <c r="J312" s="299">
        <f t="shared" si="28"/>
        <v>2625.0839999999998</v>
      </c>
    </row>
    <row r="313" spans="1:10" x14ac:dyDescent="0.2">
      <c r="A313" s="297">
        <v>304</v>
      </c>
      <c r="B313" s="297">
        <v>194</v>
      </c>
      <c r="C313" s="298">
        <v>0.75</v>
      </c>
      <c r="D313" s="298">
        <v>0.79500000000000004</v>
      </c>
      <c r="E313" s="298">
        <v>0.81</v>
      </c>
      <c r="F313" s="298">
        <v>0.82499999999999996</v>
      </c>
      <c r="G313" s="299">
        <f t="shared" ref="G313:G376" si="29">G$119+$B313*C313*12</f>
        <v>2395.44</v>
      </c>
      <c r="H313" s="299">
        <f t="shared" si="26"/>
        <v>2539.1664000000001</v>
      </c>
      <c r="I313" s="299">
        <f t="shared" si="27"/>
        <v>2587.0752000000002</v>
      </c>
      <c r="J313" s="299">
        <f t="shared" si="28"/>
        <v>2634.9839999999999</v>
      </c>
    </row>
    <row r="314" spans="1:10" x14ac:dyDescent="0.2">
      <c r="A314" s="297">
        <v>305</v>
      </c>
      <c r="B314" s="297">
        <v>195</v>
      </c>
      <c r="C314" s="298">
        <v>0.75</v>
      </c>
      <c r="D314" s="298">
        <v>0.79500000000000004</v>
      </c>
      <c r="E314" s="298">
        <v>0.81</v>
      </c>
      <c r="F314" s="298">
        <v>0.82499999999999996</v>
      </c>
      <c r="G314" s="299">
        <f t="shared" si="29"/>
        <v>2404.44</v>
      </c>
      <c r="H314" s="299">
        <f t="shared" si="26"/>
        <v>2548.7064</v>
      </c>
      <c r="I314" s="299">
        <f t="shared" si="27"/>
        <v>2596.7952</v>
      </c>
      <c r="J314" s="299">
        <f t="shared" si="28"/>
        <v>2644.884</v>
      </c>
    </row>
    <row r="315" spans="1:10" x14ac:dyDescent="0.2">
      <c r="A315" s="297">
        <v>306</v>
      </c>
      <c r="B315" s="297">
        <v>196</v>
      </c>
      <c r="C315" s="298">
        <v>0.75</v>
      </c>
      <c r="D315" s="298">
        <v>0.79500000000000004</v>
      </c>
      <c r="E315" s="298">
        <v>0.81</v>
      </c>
      <c r="F315" s="298">
        <v>0.82499999999999996</v>
      </c>
      <c r="G315" s="299">
        <f t="shared" si="29"/>
        <v>2413.44</v>
      </c>
      <c r="H315" s="299">
        <f t="shared" si="26"/>
        <v>2558.2464</v>
      </c>
      <c r="I315" s="299">
        <f t="shared" si="27"/>
        <v>2606.5152000000003</v>
      </c>
      <c r="J315" s="299">
        <f t="shared" si="28"/>
        <v>2654.7839999999997</v>
      </c>
    </row>
    <row r="316" spans="1:10" x14ac:dyDescent="0.2">
      <c r="A316" s="297">
        <v>307</v>
      </c>
      <c r="B316" s="297">
        <v>197</v>
      </c>
      <c r="C316" s="298">
        <v>0.75</v>
      </c>
      <c r="D316" s="298">
        <v>0.79500000000000004</v>
      </c>
      <c r="E316" s="298">
        <v>0.81</v>
      </c>
      <c r="F316" s="298">
        <v>0.82499999999999996</v>
      </c>
      <c r="G316" s="299">
        <f t="shared" si="29"/>
        <v>2422.44</v>
      </c>
      <c r="H316" s="299">
        <f t="shared" si="26"/>
        <v>2567.7864</v>
      </c>
      <c r="I316" s="299">
        <f t="shared" si="27"/>
        <v>2616.2352000000001</v>
      </c>
      <c r="J316" s="299">
        <f t="shared" si="28"/>
        <v>2664.6839999999997</v>
      </c>
    </row>
    <row r="317" spans="1:10" x14ac:dyDescent="0.2">
      <c r="A317" s="297">
        <v>308</v>
      </c>
      <c r="B317" s="297">
        <v>198</v>
      </c>
      <c r="C317" s="298">
        <v>0.75</v>
      </c>
      <c r="D317" s="298">
        <v>0.79500000000000004</v>
      </c>
      <c r="E317" s="298">
        <v>0.81</v>
      </c>
      <c r="F317" s="298">
        <v>0.82499999999999996</v>
      </c>
      <c r="G317" s="299">
        <f t="shared" si="29"/>
        <v>2431.44</v>
      </c>
      <c r="H317" s="299">
        <f t="shared" si="26"/>
        <v>2577.3263999999999</v>
      </c>
      <c r="I317" s="299">
        <f t="shared" si="27"/>
        <v>2625.9552000000003</v>
      </c>
      <c r="J317" s="299">
        <f t="shared" si="28"/>
        <v>2674.5839999999998</v>
      </c>
    </row>
    <row r="318" spans="1:10" x14ac:dyDescent="0.2">
      <c r="A318" s="297">
        <v>309</v>
      </c>
      <c r="B318" s="297">
        <v>199</v>
      </c>
      <c r="C318" s="298">
        <v>0.75</v>
      </c>
      <c r="D318" s="298">
        <v>0.79500000000000004</v>
      </c>
      <c r="E318" s="298">
        <v>0.81</v>
      </c>
      <c r="F318" s="298">
        <v>0.82499999999999996</v>
      </c>
      <c r="G318" s="299">
        <f t="shared" si="29"/>
        <v>2440.44</v>
      </c>
      <c r="H318" s="299">
        <f t="shared" si="26"/>
        <v>2586.8663999999999</v>
      </c>
      <c r="I318" s="299">
        <f t="shared" si="27"/>
        <v>2635.6751999999997</v>
      </c>
      <c r="J318" s="299">
        <f t="shared" si="28"/>
        <v>2684.4839999999999</v>
      </c>
    </row>
    <row r="319" spans="1:10" x14ac:dyDescent="0.2">
      <c r="A319" s="297">
        <v>310</v>
      </c>
      <c r="B319" s="297">
        <v>200</v>
      </c>
      <c r="C319" s="298">
        <v>0.75</v>
      </c>
      <c r="D319" s="298">
        <v>0.79500000000000004</v>
      </c>
      <c r="E319" s="298">
        <v>0.81</v>
      </c>
      <c r="F319" s="298">
        <v>0.82499999999999996</v>
      </c>
      <c r="G319" s="299">
        <f t="shared" si="29"/>
        <v>2449.44</v>
      </c>
      <c r="H319" s="299">
        <f t="shared" si="26"/>
        <v>2596.4063999999998</v>
      </c>
      <c r="I319" s="299">
        <f t="shared" si="27"/>
        <v>2645.3951999999999</v>
      </c>
      <c r="J319" s="299">
        <f t="shared" si="28"/>
        <v>2694.384</v>
      </c>
    </row>
    <row r="320" spans="1:10" x14ac:dyDescent="0.2">
      <c r="A320" s="297">
        <v>311</v>
      </c>
      <c r="B320" s="297">
        <v>201</v>
      </c>
      <c r="C320" s="298">
        <v>0.75</v>
      </c>
      <c r="D320" s="298">
        <v>0.79500000000000004</v>
      </c>
      <c r="E320" s="298">
        <v>0.81</v>
      </c>
      <c r="F320" s="298">
        <v>0.82499999999999996</v>
      </c>
      <c r="G320" s="299">
        <f t="shared" si="29"/>
        <v>2458.44</v>
      </c>
      <c r="H320" s="299">
        <f t="shared" si="26"/>
        <v>2605.9464000000003</v>
      </c>
      <c r="I320" s="299">
        <f t="shared" si="27"/>
        <v>2655.1152000000002</v>
      </c>
      <c r="J320" s="299">
        <f t="shared" si="28"/>
        <v>2704.2839999999997</v>
      </c>
    </row>
    <row r="321" spans="1:10" x14ac:dyDescent="0.2">
      <c r="A321" s="297">
        <v>312</v>
      </c>
      <c r="B321" s="297">
        <v>202</v>
      </c>
      <c r="C321" s="298">
        <v>0.75</v>
      </c>
      <c r="D321" s="298">
        <v>0.79500000000000004</v>
      </c>
      <c r="E321" s="298">
        <v>0.81</v>
      </c>
      <c r="F321" s="298">
        <v>0.82499999999999996</v>
      </c>
      <c r="G321" s="299">
        <f t="shared" si="29"/>
        <v>2467.44</v>
      </c>
      <c r="H321" s="299">
        <f t="shared" si="26"/>
        <v>2615.4863999999998</v>
      </c>
      <c r="I321" s="299">
        <f t="shared" si="27"/>
        <v>2664.8352</v>
      </c>
      <c r="J321" s="299">
        <f t="shared" si="28"/>
        <v>2714.1839999999997</v>
      </c>
    </row>
    <row r="322" spans="1:10" x14ac:dyDescent="0.2">
      <c r="A322" s="297">
        <v>313</v>
      </c>
      <c r="B322" s="297">
        <v>203</v>
      </c>
      <c r="C322" s="298">
        <v>0.75</v>
      </c>
      <c r="D322" s="298">
        <v>0.79500000000000004</v>
      </c>
      <c r="E322" s="298">
        <v>0.81</v>
      </c>
      <c r="F322" s="298">
        <v>0.82499999999999996</v>
      </c>
      <c r="G322" s="299">
        <f t="shared" si="29"/>
        <v>2476.44</v>
      </c>
      <c r="H322" s="299">
        <f t="shared" si="26"/>
        <v>2625.0264000000002</v>
      </c>
      <c r="I322" s="299">
        <f t="shared" si="27"/>
        <v>2674.5551999999998</v>
      </c>
      <c r="J322" s="299">
        <f t="shared" si="28"/>
        <v>2724.0839999999998</v>
      </c>
    </row>
    <row r="323" spans="1:10" x14ac:dyDescent="0.2">
      <c r="A323" s="297">
        <v>314</v>
      </c>
      <c r="B323" s="297">
        <v>204</v>
      </c>
      <c r="C323" s="298">
        <v>0.75</v>
      </c>
      <c r="D323" s="298">
        <v>0.79500000000000004</v>
      </c>
      <c r="E323" s="298">
        <v>0.81</v>
      </c>
      <c r="F323" s="298">
        <v>0.82499999999999996</v>
      </c>
      <c r="G323" s="299">
        <f t="shared" si="29"/>
        <v>2485.44</v>
      </c>
      <c r="H323" s="299">
        <f t="shared" si="26"/>
        <v>2634.5664000000002</v>
      </c>
      <c r="I323" s="299">
        <f t="shared" si="27"/>
        <v>2684.2752</v>
      </c>
      <c r="J323" s="299">
        <f t="shared" si="28"/>
        <v>2733.9839999999999</v>
      </c>
    </row>
    <row r="324" spans="1:10" x14ac:dyDescent="0.2">
      <c r="A324" s="297">
        <v>315</v>
      </c>
      <c r="B324" s="297">
        <v>205</v>
      </c>
      <c r="C324" s="298">
        <v>0.75</v>
      </c>
      <c r="D324" s="298">
        <v>0.79500000000000004</v>
      </c>
      <c r="E324" s="298">
        <v>0.81</v>
      </c>
      <c r="F324" s="298">
        <v>0.82499999999999996</v>
      </c>
      <c r="G324" s="299">
        <f t="shared" si="29"/>
        <v>2494.44</v>
      </c>
      <c r="H324" s="299">
        <f t="shared" si="26"/>
        <v>2644.1063999999997</v>
      </c>
      <c r="I324" s="299">
        <f t="shared" si="27"/>
        <v>2693.9952000000003</v>
      </c>
      <c r="J324" s="299">
        <f t="shared" si="28"/>
        <v>2743.884</v>
      </c>
    </row>
    <row r="325" spans="1:10" x14ac:dyDescent="0.2">
      <c r="A325" s="297">
        <v>316</v>
      </c>
      <c r="B325" s="297">
        <v>206</v>
      </c>
      <c r="C325" s="298">
        <v>0.75</v>
      </c>
      <c r="D325" s="298">
        <v>0.79500000000000004</v>
      </c>
      <c r="E325" s="298">
        <v>0.81</v>
      </c>
      <c r="F325" s="298">
        <v>0.82499999999999996</v>
      </c>
      <c r="G325" s="299">
        <f t="shared" si="29"/>
        <v>2503.44</v>
      </c>
      <c r="H325" s="299">
        <f t="shared" si="26"/>
        <v>2653.6464000000001</v>
      </c>
      <c r="I325" s="299">
        <f t="shared" si="27"/>
        <v>2703.7152000000001</v>
      </c>
      <c r="J325" s="299">
        <f t="shared" si="28"/>
        <v>2753.7839999999997</v>
      </c>
    </row>
    <row r="326" spans="1:10" x14ac:dyDescent="0.2">
      <c r="A326" s="297">
        <v>317</v>
      </c>
      <c r="B326" s="297">
        <v>207</v>
      </c>
      <c r="C326" s="298">
        <v>0.75</v>
      </c>
      <c r="D326" s="298">
        <v>0.79500000000000004</v>
      </c>
      <c r="E326" s="298">
        <v>0.81</v>
      </c>
      <c r="F326" s="298">
        <v>0.82499999999999996</v>
      </c>
      <c r="G326" s="299">
        <f t="shared" si="29"/>
        <v>2512.44</v>
      </c>
      <c r="H326" s="299">
        <f t="shared" si="26"/>
        <v>2663.1864</v>
      </c>
      <c r="I326" s="299">
        <f t="shared" si="27"/>
        <v>2713.4351999999999</v>
      </c>
      <c r="J326" s="299">
        <f t="shared" si="28"/>
        <v>2763.6839999999997</v>
      </c>
    </row>
    <row r="327" spans="1:10" x14ac:dyDescent="0.2">
      <c r="A327" s="297">
        <v>318</v>
      </c>
      <c r="B327" s="297">
        <v>208</v>
      </c>
      <c r="C327" s="298">
        <v>0.75</v>
      </c>
      <c r="D327" s="298">
        <v>0.79500000000000004</v>
      </c>
      <c r="E327" s="298">
        <v>0.81</v>
      </c>
      <c r="F327" s="298">
        <v>0.82499999999999996</v>
      </c>
      <c r="G327" s="299">
        <f t="shared" si="29"/>
        <v>2521.44</v>
      </c>
      <c r="H327" s="299">
        <f t="shared" si="26"/>
        <v>2672.7264</v>
      </c>
      <c r="I327" s="299">
        <f t="shared" si="27"/>
        <v>2723.1552000000001</v>
      </c>
      <c r="J327" s="299">
        <f t="shared" si="28"/>
        <v>2773.5839999999998</v>
      </c>
    </row>
    <row r="328" spans="1:10" x14ac:dyDescent="0.2">
      <c r="A328" s="297">
        <v>319</v>
      </c>
      <c r="B328" s="297">
        <v>209</v>
      </c>
      <c r="C328" s="298">
        <v>0.75</v>
      </c>
      <c r="D328" s="298">
        <v>0.79500000000000004</v>
      </c>
      <c r="E328" s="298">
        <v>0.81</v>
      </c>
      <c r="F328" s="298">
        <v>0.82499999999999996</v>
      </c>
      <c r="G328" s="299">
        <f t="shared" si="29"/>
        <v>2530.44</v>
      </c>
      <c r="H328" s="299">
        <f t="shared" ref="H328:H391" si="30">H$119+$B328*D328*12</f>
        <v>2682.2664</v>
      </c>
      <c r="I328" s="299">
        <f t="shared" ref="I328:I391" si="31">I$119+$B328*E328*12</f>
        <v>2732.8752000000004</v>
      </c>
      <c r="J328" s="299">
        <f t="shared" ref="J328:J391" si="32">J$119+$B328*F328*12</f>
        <v>2783.4839999999999</v>
      </c>
    </row>
    <row r="329" spans="1:10" x14ac:dyDescent="0.2">
      <c r="A329" s="297">
        <v>320</v>
      </c>
      <c r="B329" s="297">
        <v>210</v>
      </c>
      <c r="C329" s="298">
        <v>0.75</v>
      </c>
      <c r="D329" s="298">
        <v>0.79500000000000004</v>
      </c>
      <c r="E329" s="298">
        <v>0.81</v>
      </c>
      <c r="F329" s="298">
        <v>0.82499999999999996</v>
      </c>
      <c r="G329" s="299">
        <f t="shared" si="29"/>
        <v>2539.44</v>
      </c>
      <c r="H329" s="299">
        <f t="shared" si="30"/>
        <v>2691.8063999999999</v>
      </c>
      <c r="I329" s="299">
        <f t="shared" si="31"/>
        <v>2742.5952000000002</v>
      </c>
      <c r="J329" s="299">
        <f t="shared" si="32"/>
        <v>2793.384</v>
      </c>
    </row>
    <row r="330" spans="1:10" x14ac:dyDescent="0.2">
      <c r="A330" s="297">
        <v>321</v>
      </c>
      <c r="B330" s="297">
        <v>211</v>
      </c>
      <c r="C330" s="298">
        <v>0.75</v>
      </c>
      <c r="D330" s="298">
        <v>0.79500000000000004</v>
      </c>
      <c r="E330" s="298">
        <v>0.81</v>
      </c>
      <c r="F330" s="298">
        <v>0.82499999999999996</v>
      </c>
      <c r="G330" s="299">
        <f t="shared" si="29"/>
        <v>2548.44</v>
      </c>
      <c r="H330" s="299">
        <f t="shared" si="30"/>
        <v>2701.3463999999999</v>
      </c>
      <c r="I330" s="299">
        <f t="shared" si="31"/>
        <v>2752.3152</v>
      </c>
      <c r="J330" s="299">
        <f t="shared" si="32"/>
        <v>2803.2839999999997</v>
      </c>
    </row>
    <row r="331" spans="1:10" x14ac:dyDescent="0.2">
      <c r="A331" s="297">
        <v>322</v>
      </c>
      <c r="B331" s="297">
        <v>212</v>
      </c>
      <c r="C331" s="298">
        <v>0.75</v>
      </c>
      <c r="D331" s="298">
        <v>0.79500000000000004</v>
      </c>
      <c r="E331" s="298">
        <v>0.81</v>
      </c>
      <c r="F331" s="298">
        <v>0.82499999999999996</v>
      </c>
      <c r="G331" s="299">
        <f t="shared" si="29"/>
        <v>2557.44</v>
      </c>
      <c r="H331" s="299">
        <f t="shared" si="30"/>
        <v>2710.8864000000003</v>
      </c>
      <c r="I331" s="299">
        <f t="shared" si="31"/>
        <v>2762.0351999999998</v>
      </c>
      <c r="J331" s="299">
        <f t="shared" si="32"/>
        <v>2813.1839999999997</v>
      </c>
    </row>
    <row r="332" spans="1:10" x14ac:dyDescent="0.2">
      <c r="A332" s="297">
        <v>323</v>
      </c>
      <c r="B332" s="297">
        <v>213</v>
      </c>
      <c r="C332" s="298">
        <v>0.75</v>
      </c>
      <c r="D332" s="298">
        <v>0.79500000000000004</v>
      </c>
      <c r="E332" s="298">
        <v>0.81</v>
      </c>
      <c r="F332" s="298">
        <v>0.82499999999999996</v>
      </c>
      <c r="G332" s="299">
        <f t="shared" si="29"/>
        <v>2566.44</v>
      </c>
      <c r="H332" s="299">
        <f t="shared" si="30"/>
        <v>2720.4263999999998</v>
      </c>
      <c r="I332" s="299">
        <f t="shared" si="31"/>
        <v>2771.7552000000001</v>
      </c>
      <c r="J332" s="299">
        <f t="shared" si="32"/>
        <v>2823.0839999999998</v>
      </c>
    </row>
    <row r="333" spans="1:10" x14ac:dyDescent="0.2">
      <c r="A333" s="297">
        <v>324</v>
      </c>
      <c r="B333" s="297">
        <v>214</v>
      </c>
      <c r="C333" s="298">
        <v>0.75</v>
      </c>
      <c r="D333" s="298">
        <v>0.79500000000000004</v>
      </c>
      <c r="E333" s="298">
        <v>0.81</v>
      </c>
      <c r="F333" s="298">
        <v>0.82499999999999996</v>
      </c>
      <c r="G333" s="299">
        <f t="shared" si="29"/>
        <v>2575.44</v>
      </c>
      <c r="H333" s="299">
        <f t="shared" si="30"/>
        <v>2729.9663999999998</v>
      </c>
      <c r="I333" s="299">
        <f t="shared" si="31"/>
        <v>2781.4751999999999</v>
      </c>
      <c r="J333" s="299">
        <f t="shared" si="32"/>
        <v>2832.9839999999999</v>
      </c>
    </row>
    <row r="334" spans="1:10" x14ac:dyDescent="0.2">
      <c r="A334" s="297">
        <v>325</v>
      </c>
      <c r="B334" s="297">
        <v>215</v>
      </c>
      <c r="C334" s="298">
        <v>0.75</v>
      </c>
      <c r="D334" s="298">
        <v>0.79500000000000004</v>
      </c>
      <c r="E334" s="298">
        <v>0.81</v>
      </c>
      <c r="F334" s="298">
        <v>0.82499999999999996</v>
      </c>
      <c r="G334" s="299">
        <f t="shared" si="29"/>
        <v>2584.44</v>
      </c>
      <c r="H334" s="299">
        <f t="shared" si="30"/>
        <v>2739.5064000000002</v>
      </c>
      <c r="I334" s="299">
        <f t="shared" si="31"/>
        <v>2791.1952000000001</v>
      </c>
      <c r="J334" s="299">
        <f t="shared" si="32"/>
        <v>2842.884</v>
      </c>
    </row>
    <row r="335" spans="1:10" x14ac:dyDescent="0.2">
      <c r="A335" s="297">
        <v>326</v>
      </c>
      <c r="B335" s="297">
        <v>216</v>
      </c>
      <c r="C335" s="298">
        <v>0.75</v>
      </c>
      <c r="D335" s="298">
        <v>0.79500000000000004</v>
      </c>
      <c r="E335" s="298">
        <v>0.81</v>
      </c>
      <c r="F335" s="298">
        <v>0.82499999999999996</v>
      </c>
      <c r="G335" s="299">
        <f t="shared" si="29"/>
        <v>2593.44</v>
      </c>
      <c r="H335" s="299">
        <f t="shared" si="30"/>
        <v>2749.0463999999997</v>
      </c>
      <c r="I335" s="299">
        <f t="shared" si="31"/>
        <v>2800.9151999999999</v>
      </c>
      <c r="J335" s="299">
        <f t="shared" si="32"/>
        <v>2852.7839999999997</v>
      </c>
    </row>
    <row r="336" spans="1:10" x14ac:dyDescent="0.2">
      <c r="A336" s="297">
        <v>327</v>
      </c>
      <c r="B336" s="297">
        <v>217</v>
      </c>
      <c r="C336" s="298">
        <v>0.75</v>
      </c>
      <c r="D336" s="298">
        <v>0.79500000000000004</v>
      </c>
      <c r="E336" s="298">
        <v>0.81</v>
      </c>
      <c r="F336" s="298">
        <v>0.82499999999999996</v>
      </c>
      <c r="G336" s="299">
        <f t="shared" si="29"/>
        <v>2602.44</v>
      </c>
      <c r="H336" s="299">
        <f t="shared" si="30"/>
        <v>2758.5864000000001</v>
      </c>
      <c r="I336" s="299">
        <f t="shared" si="31"/>
        <v>2810.6352000000002</v>
      </c>
      <c r="J336" s="299">
        <f t="shared" si="32"/>
        <v>2862.6839999999997</v>
      </c>
    </row>
    <row r="337" spans="1:10" x14ac:dyDescent="0.2">
      <c r="A337" s="297">
        <v>328</v>
      </c>
      <c r="B337" s="297">
        <v>218</v>
      </c>
      <c r="C337" s="298">
        <v>0.75</v>
      </c>
      <c r="D337" s="298">
        <v>0.79500000000000004</v>
      </c>
      <c r="E337" s="298">
        <v>0.81</v>
      </c>
      <c r="F337" s="298">
        <v>0.82499999999999996</v>
      </c>
      <c r="G337" s="299">
        <f t="shared" si="29"/>
        <v>2611.44</v>
      </c>
      <c r="H337" s="299">
        <f t="shared" si="30"/>
        <v>2768.1264000000001</v>
      </c>
      <c r="I337" s="299">
        <f t="shared" si="31"/>
        <v>2820.3552</v>
      </c>
      <c r="J337" s="299">
        <f t="shared" si="32"/>
        <v>2872.5839999999998</v>
      </c>
    </row>
    <row r="338" spans="1:10" x14ac:dyDescent="0.2">
      <c r="A338" s="297">
        <v>329</v>
      </c>
      <c r="B338" s="297">
        <v>219</v>
      </c>
      <c r="C338" s="298">
        <v>0.75</v>
      </c>
      <c r="D338" s="298">
        <v>0.79500000000000004</v>
      </c>
      <c r="E338" s="298">
        <v>0.81</v>
      </c>
      <c r="F338" s="298">
        <v>0.82499999999999996</v>
      </c>
      <c r="G338" s="299">
        <f t="shared" si="29"/>
        <v>2620.44</v>
      </c>
      <c r="H338" s="299">
        <f t="shared" si="30"/>
        <v>2777.6664000000001</v>
      </c>
      <c r="I338" s="299">
        <f t="shared" si="31"/>
        <v>2830.0752000000002</v>
      </c>
      <c r="J338" s="299">
        <f t="shared" si="32"/>
        <v>2882.4839999999999</v>
      </c>
    </row>
    <row r="339" spans="1:10" x14ac:dyDescent="0.2">
      <c r="A339" s="297">
        <v>330</v>
      </c>
      <c r="B339" s="297">
        <v>220</v>
      </c>
      <c r="C339" s="298">
        <v>0.75</v>
      </c>
      <c r="D339" s="298">
        <v>0.79500000000000004</v>
      </c>
      <c r="E339" s="298">
        <v>0.81</v>
      </c>
      <c r="F339" s="298">
        <v>0.82499999999999996</v>
      </c>
      <c r="G339" s="299">
        <f t="shared" si="29"/>
        <v>2629.44</v>
      </c>
      <c r="H339" s="299">
        <f t="shared" si="30"/>
        <v>2787.2064</v>
      </c>
      <c r="I339" s="299">
        <f t="shared" si="31"/>
        <v>2839.7952</v>
      </c>
      <c r="J339" s="299">
        <f t="shared" si="32"/>
        <v>2892.384</v>
      </c>
    </row>
    <row r="340" spans="1:10" x14ac:dyDescent="0.2">
      <c r="A340" s="297">
        <v>331</v>
      </c>
      <c r="B340" s="297">
        <v>221</v>
      </c>
      <c r="C340" s="298">
        <v>0.75</v>
      </c>
      <c r="D340" s="298">
        <v>0.79500000000000004</v>
      </c>
      <c r="E340" s="298">
        <v>0.81</v>
      </c>
      <c r="F340" s="298">
        <v>0.82499999999999996</v>
      </c>
      <c r="G340" s="299">
        <f t="shared" si="29"/>
        <v>2638.44</v>
      </c>
      <c r="H340" s="299">
        <f t="shared" si="30"/>
        <v>2796.7464</v>
      </c>
      <c r="I340" s="299">
        <f t="shared" si="31"/>
        <v>2849.5152000000003</v>
      </c>
      <c r="J340" s="299">
        <f t="shared" si="32"/>
        <v>2902.2839999999997</v>
      </c>
    </row>
    <row r="341" spans="1:10" x14ac:dyDescent="0.2">
      <c r="A341" s="297">
        <v>332</v>
      </c>
      <c r="B341" s="297">
        <v>222</v>
      </c>
      <c r="C341" s="298">
        <v>0.75</v>
      </c>
      <c r="D341" s="298">
        <v>0.79500000000000004</v>
      </c>
      <c r="E341" s="298">
        <v>0.81</v>
      </c>
      <c r="F341" s="298">
        <v>0.82499999999999996</v>
      </c>
      <c r="G341" s="299">
        <f t="shared" si="29"/>
        <v>2647.44</v>
      </c>
      <c r="H341" s="299">
        <f t="shared" si="30"/>
        <v>2806.2864</v>
      </c>
      <c r="I341" s="299">
        <f t="shared" si="31"/>
        <v>2859.2352000000001</v>
      </c>
      <c r="J341" s="299">
        <f t="shared" si="32"/>
        <v>2912.1839999999997</v>
      </c>
    </row>
    <row r="342" spans="1:10" x14ac:dyDescent="0.2">
      <c r="A342" s="297">
        <v>333</v>
      </c>
      <c r="B342" s="297">
        <v>223</v>
      </c>
      <c r="C342" s="298">
        <v>0.75</v>
      </c>
      <c r="D342" s="298">
        <v>0.79500000000000004</v>
      </c>
      <c r="E342" s="298">
        <v>0.81</v>
      </c>
      <c r="F342" s="298">
        <v>0.82499999999999996</v>
      </c>
      <c r="G342" s="299">
        <f t="shared" si="29"/>
        <v>2656.44</v>
      </c>
      <c r="H342" s="299">
        <f t="shared" si="30"/>
        <v>2815.8263999999999</v>
      </c>
      <c r="I342" s="299">
        <f t="shared" si="31"/>
        <v>2868.9552000000003</v>
      </c>
      <c r="J342" s="299">
        <f t="shared" si="32"/>
        <v>2922.0839999999998</v>
      </c>
    </row>
    <row r="343" spans="1:10" x14ac:dyDescent="0.2">
      <c r="A343" s="297">
        <v>334</v>
      </c>
      <c r="B343" s="297">
        <v>224</v>
      </c>
      <c r="C343" s="298">
        <v>0.75</v>
      </c>
      <c r="D343" s="298">
        <v>0.79500000000000004</v>
      </c>
      <c r="E343" s="298">
        <v>0.81</v>
      </c>
      <c r="F343" s="298">
        <v>0.82499999999999996</v>
      </c>
      <c r="G343" s="299">
        <f t="shared" si="29"/>
        <v>2665.44</v>
      </c>
      <c r="H343" s="299">
        <f t="shared" si="30"/>
        <v>2825.3663999999999</v>
      </c>
      <c r="I343" s="299">
        <f t="shared" si="31"/>
        <v>2878.6751999999997</v>
      </c>
      <c r="J343" s="299">
        <f t="shared" si="32"/>
        <v>2931.9839999999999</v>
      </c>
    </row>
    <row r="344" spans="1:10" x14ac:dyDescent="0.2">
      <c r="A344" s="297">
        <v>335</v>
      </c>
      <c r="B344" s="297">
        <v>225</v>
      </c>
      <c r="C344" s="298">
        <v>0.75</v>
      </c>
      <c r="D344" s="298">
        <v>0.79500000000000004</v>
      </c>
      <c r="E344" s="298">
        <v>0.81</v>
      </c>
      <c r="F344" s="298">
        <v>0.82499999999999996</v>
      </c>
      <c r="G344" s="299">
        <f t="shared" si="29"/>
        <v>2674.44</v>
      </c>
      <c r="H344" s="299">
        <f t="shared" si="30"/>
        <v>2834.9063999999998</v>
      </c>
      <c r="I344" s="299">
        <f t="shared" si="31"/>
        <v>2888.3951999999999</v>
      </c>
      <c r="J344" s="299">
        <f t="shared" si="32"/>
        <v>2941.884</v>
      </c>
    </row>
    <row r="345" spans="1:10" x14ac:dyDescent="0.2">
      <c r="A345" s="297">
        <v>336</v>
      </c>
      <c r="B345" s="297">
        <v>226</v>
      </c>
      <c r="C345" s="298">
        <v>0.75</v>
      </c>
      <c r="D345" s="298">
        <v>0.79500000000000004</v>
      </c>
      <c r="E345" s="298">
        <v>0.81</v>
      </c>
      <c r="F345" s="298">
        <v>0.82499999999999996</v>
      </c>
      <c r="G345" s="299">
        <f t="shared" si="29"/>
        <v>2683.44</v>
      </c>
      <c r="H345" s="299">
        <f t="shared" si="30"/>
        <v>2844.4463999999998</v>
      </c>
      <c r="I345" s="299">
        <f t="shared" si="31"/>
        <v>2898.1152000000002</v>
      </c>
      <c r="J345" s="299">
        <f t="shared" si="32"/>
        <v>2951.7839999999997</v>
      </c>
    </row>
    <row r="346" spans="1:10" x14ac:dyDescent="0.2">
      <c r="A346" s="297">
        <v>337</v>
      </c>
      <c r="B346" s="297">
        <v>227</v>
      </c>
      <c r="C346" s="298">
        <v>0.75</v>
      </c>
      <c r="D346" s="298">
        <v>0.79500000000000004</v>
      </c>
      <c r="E346" s="298">
        <v>0.81</v>
      </c>
      <c r="F346" s="298">
        <v>0.82499999999999996</v>
      </c>
      <c r="G346" s="299">
        <f t="shared" si="29"/>
        <v>2692.44</v>
      </c>
      <c r="H346" s="299">
        <f t="shared" si="30"/>
        <v>2853.9863999999998</v>
      </c>
      <c r="I346" s="299">
        <f t="shared" si="31"/>
        <v>2907.8352</v>
      </c>
      <c r="J346" s="299">
        <f t="shared" si="32"/>
        <v>2961.6839999999997</v>
      </c>
    </row>
    <row r="347" spans="1:10" x14ac:dyDescent="0.2">
      <c r="A347" s="297">
        <v>338</v>
      </c>
      <c r="B347" s="297">
        <v>228</v>
      </c>
      <c r="C347" s="298">
        <v>0.75</v>
      </c>
      <c r="D347" s="298">
        <v>0.79500000000000004</v>
      </c>
      <c r="E347" s="298">
        <v>0.81</v>
      </c>
      <c r="F347" s="298">
        <v>0.82499999999999996</v>
      </c>
      <c r="G347" s="299">
        <f t="shared" si="29"/>
        <v>2701.44</v>
      </c>
      <c r="H347" s="299">
        <f t="shared" si="30"/>
        <v>2863.5264000000002</v>
      </c>
      <c r="I347" s="299">
        <f t="shared" si="31"/>
        <v>2917.5551999999998</v>
      </c>
      <c r="J347" s="299">
        <f t="shared" si="32"/>
        <v>2971.5839999999998</v>
      </c>
    </row>
    <row r="348" spans="1:10" x14ac:dyDescent="0.2">
      <c r="A348" s="297">
        <v>339</v>
      </c>
      <c r="B348" s="297">
        <v>229</v>
      </c>
      <c r="C348" s="298">
        <v>0.75</v>
      </c>
      <c r="D348" s="298">
        <v>0.79500000000000004</v>
      </c>
      <c r="E348" s="298">
        <v>0.81</v>
      </c>
      <c r="F348" s="298">
        <v>0.82499999999999996</v>
      </c>
      <c r="G348" s="299">
        <f t="shared" si="29"/>
        <v>2710.44</v>
      </c>
      <c r="H348" s="299">
        <f t="shared" si="30"/>
        <v>2873.0663999999997</v>
      </c>
      <c r="I348" s="299">
        <f t="shared" si="31"/>
        <v>2927.2752</v>
      </c>
      <c r="J348" s="299">
        <f t="shared" si="32"/>
        <v>2981.4839999999999</v>
      </c>
    </row>
    <row r="349" spans="1:10" x14ac:dyDescent="0.2">
      <c r="A349" s="297">
        <v>340</v>
      </c>
      <c r="B349" s="297">
        <v>230</v>
      </c>
      <c r="C349" s="298">
        <v>0.75</v>
      </c>
      <c r="D349" s="298">
        <v>0.79500000000000004</v>
      </c>
      <c r="E349" s="298">
        <v>0.81</v>
      </c>
      <c r="F349" s="298">
        <v>0.82499999999999996</v>
      </c>
      <c r="G349" s="299">
        <f t="shared" si="29"/>
        <v>2719.44</v>
      </c>
      <c r="H349" s="299">
        <f t="shared" si="30"/>
        <v>2882.6064000000001</v>
      </c>
      <c r="I349" s="299">
        <f t="shared" si="31"/>
        <v>2936.9952000000003</v>
      </c>
      <c r="J349" s="299">
        <f t="shared" si="32"/>
        <v>2991.384</v>
      </c>
    </row>
    <row r="350" spans="1:10" x14ac:dyDescent="0.2">
      <c r="A350" s="297">
        <v>341</v>
      </c>
      <c r="B350" s="297">
        <v>231</v>
      </c>
      <c r="C350" s="298">
        <v>0.75</v>
      </c>
      <c r="D350" s="298">
        <v>0.79500000000000004</v>
      </c>
      <c r="E350" s="298">
        <v>0.81</v>
      </c>
      <c r="F350" s="298">
        <v>0.82499999999999996</v>
      </c>
      <c r="G350" s="299">
        <f t="shared" si="29"/>
        <v>2728.44</v>
      </c>
      <c r="H350" s="299">
        <f t="shared" si="30"/>
        <v>2892.1464000000001</v>
      </c>
      <c r="I350" s="299">
        <f t="shared" si="31"/>
        <v>2946.7152000000001</v>
      </c>
      <c r="J350" s="299">
        <f t="shared" si="32"/>
        <v>3001.2839999999997</v>
      </c>
    </row>
    <row r="351" spans="1:10" x14ac:dyDescent="0.2">
      <c r="A351" s="297">
        <v>342</v>
      </c>
      <c r="B351" s="297">
        <v>232</v>
      </c>
      <c r="C351" s="298">
        <v>0.75</v>
      </c>
      <c r="D351" s="298">
        <v>0.79500000000000004</v>
      </c>
      <c r="E351" s="298">
        <v>0.81</v>
      </c>
      <c r="F351" s="298">
        <v>0.82499999999999996</v>
      </c>
      <c r="G351" s="299">
        <f t="shared" si="29"/>
        <v>2737.44</v>
      </c>
      <c r="H351" s="299">
        <f t="shared" si="30"/>
        <v>2901.6863999999996</v>
      </c>
      <c r="I351" s="299">
        <f t="shared" si="31"/>
        <v>2956.4351999999999</v>
      </c>
      <c r="J351" s="299">
        <f t="shared" si="32"/>
        <v>3011.1839999999997</v>
      </c>
    </row>
    <row r="352" spans="1:10" x14ac:dyDescent="0.2">
      <c r="A352" s="297">
        <v>343</v>
      </c>
      <c r="B352" s="297">
        <v>233</v>
      </c>
      <c r="C352" s="298">
        <v>0.75</v>
      </c>
      <c r="D352" s="298">
        <v>0.79500000000000004</v>
      </c>
      <c r="E352" s="298">
        <v>0.81</v>
      </c>
      <c r="F352" s="298">
        <v>0.82499999999999996</v>
      </c>
      <c r="G352" s="299">
        <f t="shared" si="29"/>
        <v>2746.44</v>
      </c>
      <c r="H352" s="299">
        <f t="shared" si="30"/>
        <v>2911.2264</v>
      </c>
      <c r="I352" s="299">
        <f t="shared" si="31"/>
        <v>2966.1552000000001</v>
      </c>
      <c r="J352" s="299">
        <f t="shared" si="32"/>
        <v>3021.0839999999998</v>
      </c>
    </row>
    <row r="353" spans="1:10" x14ac:dyDescent="0.2">
      <c r="A353" s="297">
        <v>344</v>
      </c>
      <c r="B353" s="297">
        <v>234</v>
      </c>
      <c r="C353" s="298">
        <v>0.75</v>
      </c>
      <c r="D353" s="298">
        <v>0.79500000000000004</v>
      </c>
      <c r="E353" s="298">
        <v>0.81</v>
      </c>
      <c r="F353" s="298">
        <v>0.82499999999999996</v>
      </c>
      <c r="G353" s="299">
        <f t="shared" si="29"/>
        <v>2755.44</v>
      </c>
      <c r="H353" s="299">
        <f t="shared" si="30"/>
        <v>2920.7664</v>
      </c>
      <c r="I353" s="299">
        <f t="shared" si="31"/>
        <v>2975.8752000000004</v>
      </c>
      <c r="J353" s="299">
        <f t="shared" si="32"/>
        <v>3030.9839999999999</v>
      </c>
    </row>
    <row r="354" spans="1:10" x14ac:dyDescent="0.2">
      <c r="A354" s="297">
        <v>345</v>
      </c>
      <c r="B354" s="297">
        <v>235</v>
      </c>
      <c r="C354" s="298">
        <v>0.75</v>
      </c>
      <c r="D354" s="298">
        <v>0.79500000000000004</v>
      </c>
      <c r="E354" s="298">
        <v>0.81</v>
      </c>
      <c r="F354" s="298">
        <v>0.82499999999999996</v>
      </c>
      <c r="G354" s="299">
        <f t="shared" si="29"/>
        <v>2764.44</v>
      </c>
      <c r="H354" s="299">
        <f t="shared" si="30"/>
        <v>2930.3063999999999</v>
      </c>
      <c r="I354" s="299">
        <f t="shared" si="31"/>
        <v>2985.5952000000002</v>
      </c>
      <c r="J354" s="299">
        <f t="shared" si="32"/>
        <v>3040.884</v>
      </c>
    </row>
    <row r="355" spans="1:10" x14ac:dyDescent="0.2">
      <c r="A355" s="297">
        <v>346</v>
      </c>
      <c r="B355" s="297">
        <v>236</v>
      </c>
      <c r="C355" s="298">
        <v>0.75</v>
      </c>
      <c r="D355" s="298">
        <v>0.79500000000000004</v>
      </c>
      <c r="E355" s="298">
        <v>0.81</v>
      </c>
      <c r="F355" s="298">
        <v>0.82499999999999996</v>
      </c>
      <c r="G355" s="299">
        <f t="shared" si="29"/>
        <v>2773.44</v>
      </c>
      <c r="H355" s="299">
        <f t="shared" si="30"/>
        <v>2939.8463999999999</v>
      </c>
      <c r="I355" s="299">
        <f t="shared" si="31"/>
        <v>2995.3152</v>
      </c>
      <c r="J355" s="299">
        <f t="shared" si="32"/>
        <v>3050.7839999999997</v>
      </c>
    </row>
    <row r="356" spans="1:10" x14ac:dyDescent="0.2">
      <c r="A356" s="297">
        <v>347</v>
      </c>
      <c r="B356" s="297">
        <v>237</v>
      </c>
      <c r="C356" s="298">
        <v>0.75</v>
      </c>
      <c r="D356" s="298">
        <v>0.79500000000000004</v>
      </c>
      <c r="E356" s="298">
        <v>0.81</v>
      </c>
      <c r="F356" s="298">
        <v>0.82499999999999996</v>
      </c>
      <c r="G356" s="299">
        <f t="shared" si="29"/>
        <v>2782.44</v>
      </c>
      <c r="H356" s="299">
        <f t="shared" si="30"/>
        <v>2949.3864000000003</v>
      </c>
      <c r="I356" s="299">
        <f t="shared" si="31"/>
        <v>3005.0351999999998</v>
      </c>
      <c r="J356" s="299">
        <f t="shared" si="32"/>
        <v>3060.6839999999997</v>
      </c>
    </row>
    <row r="357" spans="1:10" x14ac:dyDescent="0.2">
      <c r="A357" s="297">
        <v>348</v>
      </c>
      <c r="B357" s="297">
        <v>238</v>
      </c>
      <c r="C357" s="298">
        <v>0.75</v>
      </c>
      <c r="D357" s="298">
        <v>0.79500000000000004</v>
      </c>
      <c r="E357" s="298">
        <v>0.81</v>
      </c>
      <c r="F357" s="298">
        <v>0.82499999999999996</v>
      </c>
      <c r="G357" s="299">
        <f t="shared" si="29"/>
        <v>2791.44</v>
      </c>
      <c r="H357" s="299">
        <f t="shared" si="30"/>
        <v>2958.9263999999998</v>
      </c>
      <c r="I357" s="299">
        <f t="shared" si="31"/>
        <v>3014.7552000000001</v>
      </c>
      <c r="J357" s="299">
        <f t="shared" si="32"/>
        <v>3070.5839999999998</v>
      </c>
    </row>
    <row r="358" spans="1:10" x14ac:dyDescent="0.2">
      <c r="A358" s="297">
        <v>349</v>
      </c>
      <c r="B358" s="297">
        <v>239</v>
      </c>
      <c r="C358" s="298">
        <v>0.75</v>
      </c>
      <c r="D358" s="298">
        <v>0.79500000000000004</v>
      </c>
      <c r="E358" s="298">
        <v>0.81</v>
      </c>
      <c r="F358" s="298">
        <v>0.82499999999999996</v>
      </c>
      <c r="G358" s="299">
        <f t="shared" si="29"/>
        <v>2800.44</v>
      </c>
      <c r="H358" s="299">
        <f t="shared" si="30"/>
        <v>2968.4663999999998</v>
      </c>
      <c r="I358" s="299">
        <f t="shared" si="31"/>
        <v>3024.4751999999999</v>
      </c>
      <c r="J358" s="299">
        <f t="shared" si="32"/>
        <v>3080.4839999999999</v>
      </c>
    </row>
    <row r="359" spans="1:10" x14ac:dyDescent="0.2">
      <c r="A359" s="297">
        <v>350</v>
      </c>
      <c r="B359" s="297">
        <v>240</v>
      </c>
      <c r="C359" s="298">
        <v>0.75</v>
      </c>
      <c r="D359" s="298">
        <v>0.79500000000000004</v>
      </c>
      <c r="E359" s="298">
        <v>0.81</v>
      </c>
      <c r="F359" s="298">
        <v>0.82499999999999996</v>
      </c>
      <c r="G359" s="299">
        <f t="shared" si="29"/>
        <v>2809.44</v>
      </c>
      <c r="H359" s="299">
        <f t="shared" si="30"/>
        <v>2978.0064000000002</v>
      </c>
      <c r="I359" s="299">
        <f t="shared" si="31"/>
        <v>3034.1952000000001</v>
      </c>
      <c r="J359" s="299">
        <f t="shared" si="32"/>
        <v>3090.384</v>
      </c>
    </row>
    <row r="360" spans="1:10" x14ac:dyDescent="0.2">
      <c r="A360" s="297">
        <v>351</v>
      </c>
      <c r="B360" s="297">
        <v>241</v>
      </c>
      <c r="C360" s="298">
        <v>0.75</v>
      </c>
      <c r="D360" s="298">
        <v>0.79500000000000004</v>
      </c>
      <c r="E360" s="298">
        <v>0.81</v>
      </c>
      <c r="F360" s="298">
        <v>0.82499999999999996</v>
      </c>
      <c r="G360" s="299">
        <f t="shared" si="29"/>
        <v>2818.44</v>
      </c>
      <c r="H360" s="299">
        <f t="shared" si="30"/>
        <v>2987.5463999999997</v>
      </c>
      <c r="I360" s="299">
        <f t="shared" si="31"/>
        <v>3043.9151999999999</v>
      </c>
      <c r="J360" s="299">
        <f t="shared" si="32"/>
        <v>3100.2839999999997</v>
      </c>
    </row>
    <row r="361" spans="1:10" x14ac:dyDescent="0.2">
      <c r="A361" s="297">
        <v>352</v>
      </c>
      <c r="B361" s="297">
        <v>242</v>
      </c>
      <c r="C361" s="298">
        <v>0.75</v>
      </c>
      <c r="D361" s="298">
        <v>0.79500000000000004</v>
      </c>
      <c r="E361" s="298">
        <v>0.81</v>
      </c>
      <c r="F361" s="298">
        <v>0.82499999999999996</v>
      </c>
      <c r="G361" s="299">
        <f t="shared" si="29"/>
        <v>2827.44</v>
      </c>
      <c r="H361" s="299">
        <f t="shared" si="30"/>
        <v>2997.0864000000001</v>
      </c>
      <c r="I361" s="299">
        <f t="shared" si="31"/>
        <v>3053.6352000000002</v>
      </c>
      <c r="J361" s="299">
        <f t="shared" si="32"/>
        <v>3110.1839999999997</v>
      </c>
    </row>
    <row r="362" spans="1:10" x14ac:dyDescent="0.2">
      <c r="A362" s="297">
        <v>353</v>
      </c>
      <c r="B362" s="297">
        <v>243</v>
      </c>
      <c r="C362" s="298">
        <v>0.75</v>
      </c>
      <c r="D362" s="298">
        <v>0.79500000000000004</v>
      </c>
      <c r="E362" s="298">
        <v>0.81</v>
      </c>
      <c r="F362" s="298">
        <v>0.82499999999999996</v>
      </c>
      <c r="G362" s="299">
        <f t="shared" si="29"/>
        <v>2836.44</v>
      </c>
      <c r="H362" s="299">
        <f t="shared" si="30"/>
        <v>3006.6264000000001</v>
      </c>
      <c r="I362" s="299">
        <f t="shared" si="31"/>
        <v>3063.3552</v>
      </c>
      <c r="J362" s="299">
        <f t="shared" si="32"/>
        <v>3120.0839999999998</v>
      </c>
    </row>
    <row r="363" spans="1:10" x14ac:dyDescent="0.2">
      <c r="A363" s="297">
        <v>354</v>
      </c>
      <c r="B363" s="297">
        <v>244</v>
      </c>
      <c r="C363" s="298">
        <v>0.75</v>
      </c>
      <c r="D363" s="298">
        <v>0.79500000000000004</v>
      </c>
      <c r="E363" s="298">
        <v>0.81</v>
      </c>
      <c r="F363" s="298">
        <v>0.82499999999999996</v>
      </c>
      <c r="G363" s="299">
        <f t="shared" si="29"/>
        <v>2845.44</v>
      </c>
      <c r="H363" s="299">
        <f t="shared" si="30"/>
        <v>3016.1664000000001</v>
      </c>
      <c r="I363" s="299">
        <f t="shared" si="31"/>
        <v>3073.0752000000002</v>
      </c>
      <c r="J363" s="299">
        <f t="shared" si="32"/>
        <v>3129.9839999999999</v>
      </c>
    </row>
    <row r="364" spans="1:10" x14ac:dyDescent="0.2">
      <c r="A364" s="297">
        <v>355</v>
      </c>
      <c r="B364" s="297">
        <v>245</v>
      </c>
      <c r="C364" s="298">
        <v>0.75</v>
      </c>
      <c r="D364" s="298">
        <v>0.79500000000000004</v>
      </c>
      <c r="E364" s="298">
        <v>0.81</v>
      </c>
      <c r="F364" s="298">
        <v>0.82499999999999996</v>
      </c>
      <c r="G364" s="299">
        <f t="shared" si="29"/>
        <v>2854.44</v>
      </c>
      <c r="H364" s="299">
        <f t="shared" si="30"/>
        <v>3025.7064</v>
      </c>
      <c r="I364" s="299">
        <f t="shared" si="31"/>
        <v>3082.7952</v>
      </c>
      <c r="J364" s="299">
        <f t="shared" si="32"/>
        <v>3139.884</v>
      </c>
    </row>
    <row r="365" spans="1:10" x14ac:dyDescent="0.2">
      <c r="A365" s="297">
        <v>356</v>
      </c>
      <c r="B365" s="297">
        <v>246</v>
      </c>
      <c r="C365" s="298">
        <v>0.75</v>
      </c>
      <c r="D365" s="298">
        <v>0.79500000000000004</v>
      </c>
      <c r="E365" s="298">
        <v>0.81</v>
      </c>
      <c r="F365" s="298">
        <v>0.82499999999999996</v>
      </c>
      <c r="G365" s="299">
        <f t="shared" si="29"/>
        <v>2863.44</v>
      </c>
      <c r="H365" s="299">
        <f t="shared" si="30"/>
        <v>3035.2464</v>
      </c>
      <c r="I365" s="299">
        <f t="shared" si="31"/>
        <v>3092.5152000000003</v>
      </c>
      <c r="J365" s="299">
        <f t="shared" si="32"/>
        <v>3149.7839999999997</v>
      </c>
    </row>
    <row r="366" spans="1:10" x14ac:dyDescent="0.2">
      <c r="A366" s="297">
        <v>357</v>
      </c>
      <c r="B366" s="297">
        <v>247</v>
      </c>
      <c r="C366" s="298">
        <v>0.75</v>
      </c>
      <c r="D366" s="298">
        <v>0.79500000000000004</v>
      </c>
      <c r="E366" s="298">
        <v>0.81</v>
      </c>
      <c r="F366" s="298">
        <v>0.82499999999999996</v>
      </c>
      <c r="G366" s="299">
        <f t="shared" si="29"/>
        <v>2872.44</v>
      </c>
      <c r="H366" s="299">
        <f t="shared" si="30"/>
        <v>3044.7864</v>
      </c>
      <c r="I366" s="299">
        <f t="shared" si="31"/>
        <v>3102.2352000000001</v>
      </c>
      <c r="J366" s="299">
        <f t="shared" si="32"/>
        <v>3159.6839999999997</v>
      </c>
    </row>
    <row r="367" spans="1:10" x14ac:dyDescent="0.2">
      <c r="A367" s="297">
        <v>358</v>
      </c>
      <c r="B367" s="297">
        <v>248</v>
      </c>
      <c r="C367" s="298">
        <v>0.75</v>
      </c>
      <c r="D367" s="298">
        <v>0.79500000000000004</v>
      </c>
      <c r="E367" s="298">
        <v>0.81</v>
      </c>
      <c r="F367" s="298">
        <v>0.82499999999999996</v>
      </c>
      <c r="G367" s="299">
        <f t="shared" si="29"/>
        <v>2881.44</v>
      </c>
      <c r="H367" s="299">
        <f t="shared" si="30"/>
        <v>3054.3263999999999</v>
      </c>
      <c r="I367" s="299">
        <f t="shared" si="31"/>
        <v>3111.9552000000003</v>
      </c>
      <c r="J367" s="299">
        <f t="shared" si="32"/>
        <v>3169.5839999999998</v>
      </c>
    </row>
    <row r="368" spans="1:10" x14ac:dyDescent="0.2">
      <c r="A368" s="297">
        <v>359</v>
      </c>
      <c r="B368" s="297">
        <v>249</v>
      </c>
      <c r="C368" s="298">
        <v>0.75</v>
      </c>
      <c r="D368" s="298">
        <v>0.79500000000000004</v>
      </c>
      <c r="E368" s="298">
        <v>0.81</v>
      </c>
      <c r="F368" s="298">
        <v>0.82499999999999996</v>
      </c>
      <c r="G368" s="299">
        <f t="shared" si="29"/>
        <v>2890.44</v>
      </c>
      <c r="H368" s="299">
        <f t="shared" si="30"/>
        <v>3063.8663999999999</v>
      </c>
      <c r="I368" s="299">
        <f t="shared" si="31"/>
        <v>3121.6752000000001</v>
      </c>
      <c r="J368" s="299">
        <f t="shared" si="32"/>
        <v>3179.4839999999999</v>
      </c>
    </row>
    <row r="369" spans="1:10" x14ac:dyDescent="0.2">
      <c r="A369" s="297">
        <v>360</v>
      </c>
      <c r="B369" s="297">
        <v>250</v>
      </c>
      <c r="C369" s="298">
        <v>0.75</v>
      </c>
      <c r="D369" s="298">
        <v>0.79500000000000004</v>
      </c>
      <c r="E369" s="298">
        <v>0.81</v>
      </c>
      <c r="F369" s="298">
        <v>0.82499999999999996</v>
      </c>
      <c r="G369" s="299">
        <f t="shared" si="29"/>
        <v>2899.44</v>
      </c>
      <c r="H369" s="299">
        <f t="shared" si="30"/>
        <v>3073.4063999999998</v>
      </c>
      <c r="I369" s="299">
        <f t="shared" si="31"/>
        <v>3131.3951999999999</v>
      </c>
      <c r="J369" s="299">
        <f t="shared" si="32"/>
        <v>3189.384</v>
      </c>
    </row>
    <row r="370" spans="1:10" x14ac:dyDescent="0.2">
      <c r="A370" s="297">
        <v>361</v>
      </c>
      <c r="B370" s="297">
        <v>251</v>
      </c>
      <c r="C370" s="298">
        <v>0.75</v>
      </c>
      <c r="D370" s="298">
        <v>0.79500000000000004</v>
      </c>
      <c r="E370" s="298">
        <v>0.81</v>
      </c>
      <c r="F370" s="298">
        <v>0.82499999999999996</v>
      </c>
      <c r="G370" s="299">
        <f t="shared" si="29"/>
        <v>2908.44</v>
      </c>
      <c r="H370" s="299">
        <f t="shared" si="30"/>
        <v>3082.9463999999998</v>
      </c>
      <c r="I370" s="299">
        <f t="shared" si="31"/>
        <v>3141.1152000000002</v>
      </c>
      <c r="J370" s="299">
        <f t="shared" si="32"/>
        <v>3199.2839999999997</v>
      </c>
    </row>
    <row r="371" spans="1:10" x14ac:dyDescent="0.2">
      <c r="A371" s="297">
        <v>362</v>
      </c>
      <c r="B371" s="297">
        <v>252</v>
      </c>
      <c r="C371" s="298">
        <v>0.75</v>
      </c>
      <c r="D371" s="298">
        <v>0.79500000000000004</v>
      </c>
      <c r="E371" s="298">
        <v>0.81</v>
      </c>
      <c r="F371" s="298">
        <v>0.82499999999999996</v>
      </c>
      <c r="G371" s="299">
        <f t="shared" si="29"/>
        <v>2917.44</v>
      </c>
      <c r="H371" s="299">
        <f t="shared" si="30"/>
        <v>3092.4863999999998</v>
      </c>
      <c r="I371" s="299">
        <f t="shared" si="31"/>
        <v>3150.8352</v>
      </c>
      <c r="J371" s="299">
        <f t="shared" si="32"/>
        <v>3209.1839999999997</v>
      </c>
    </row>
    <row r="372" spans="1:10" x14ac:dyDescent="0.2">
      <c r="A372" s="297">
        <v>363</v>
      </c>
      <c r="B372" s="297">
        <v>253</v>
      </c>
      <c r="C372" s="298">
        <v>0.75</v>
      </c>
      <c r="D372" s="298">
        <v>0.79500000000000004</v>
      </c>
      <c r="E372" s="298">
        <v>0.81</v>
      </c>
      <c r="F372" s="298">
        <v>0.82499999999999996</v>
      </c>
      <c r="G372" s="299">
        <f t="shared" si="29"/>
        <v>2926.44</v>
      </c>
      <c r="H372" s="299">
        <f t="shared" si="30"/>
        <v>3102.0264000000002</v>
      </c>
      <c r="I372" s="299">
        <f t="shared" si="31"/>
        <v>3160.5551999999998</v>
      </c>
      <c r="J372" s="299">
        <f t="shared" si="32"/>
        <v>3219.0839999999998</v>
      </c>
    </row>
    <row r="373" spans="1:10" x14ac:dyDescent="0.2">
      <c r="A373" s="297">
        <v>364</v>
      </c>
      <c r="B373" s="297">
        <v>254</v>
      </c>
      <c r="C373" s="298">
        <v>0.75</v>
      </c>
      <c r="D373" s="298">
        <v>0.79500000000000004</v>
      </c>
      <c r="E373" s="298">
        <v>0.81</v>
      </c>
      <c r="F373" s="298">
        <v>0.82499999999999996</v>
      </c>
      <c r="G373" s="299">
        <f t="shared" si="29"/>
        <v>2935.44</v>
      </c>
      <c r="H373" s="299">
        <f t="shared" si="30"/>
        <v>3111.5663999999997</v>
      </c>
      <c r="I373" s="299">
        <f t="shared" si="31"/>
        <v>3170.2752</v>
      </c>
      <c r="J373" s="299">
        <f t="shared" si="32"/>
        <v>3228.9839999999999</v>
      </c>
    </row>
    <row r="374" spans="1:10" x14ac:dyDescent="0.2">
      <c r="A374" s="297">
        <v>365</v>
      </c>
      <c r="B374" s="297">
        <v>255</v>
      </c>
      <c r="C374" s="298">
        <v>0.75</v>
      </c>
      <c r="D374" s="298">
        <v>0.79500000000000004</v>
      </c>
      <c r="E374" s="298">
        <v>0.81</v>
      </c>
      <c r="F374" s="298">
        <v>0.82499999999999996</v>
      </c>
      <c r="G374" s="299">
        <f t="shared" si="29"/>
        <v>2944.44</v>
      </c>
      <c r="H374" s="299">
        <f t="shared" si="30"/>
        <v>3121.1064000000001</v>
      </c>
      <c r="I374" s="299">
        <f t="shared" si="31"/>
        <v>3179.9952000000003</v>
      </c>
      <c r="J374" s="299">
        <f t="shared" si="32"/>
        <v>3238.884</v>
      </c>
    </row>
    <row r="375" spans="1:10" x14ac:dyDescent="0.2">
      <c r="A375" s="297">
        <v>366</v>
      </c>
      <c r="B375" s="297">
        <v>256</v>
      </c>
      <c r="C375" s="298">
        <v>0.75</v>
      </c>
      <c r="D375" s="298">
        <v>0.79500000000000004</v>
      </c>
      <c r="E375" s="298">
        <v>0.81</v>
      </c>
      <c r="F375" s="298">
        <v>0.82499999999999996</v>
      </c>
      <c r="G375" s="299">
        <f t="shared" si="29"/>
        <v>2953.44</v>
      </c>
      <c r="H375" s="299">
        <f t="shared" si="30"/>
        <v>3130.6464000000001</v>
      </c>
      <c r="I375" s="299">
        <f t="shared" si="31"/>
        <v>3189.7152000000001</v>
      </c>
      <c r="J375" s="299">
        <f t="shared" si="32"/>
        <v>3248.7839999999997</v>
      </c>
    </row>
    <row r="376" spans="1:10" x14ac:dyDescent="0.2">
      <c r="A376" s="297">
        <v>367</v>
      </c>
      <c r="B376" s="297">
        <v>257</v>
      </c>
      <c r="C376" s="298">
        <v>0.75</v>
      </c>
      <c r="D376" s="298">
        <v>0.79500000000000004</v>
      </c>
      <c r="E376" s="298">
        <v>0.81</v>
      </c>
      <c r="F376" s="298">
        <v>0.82499999999999996</v>
      </c>
      <c r="G376" s="299">
        <f t="shared" si="29"/>
        <v>2962.44</v>
      </c>
      <c r="H376" s="299">
        <f t="shared" si="30"/>
        <v>3140.1863999999996</v>
      </c>
      <c r="I376" s="299">
        <f t="shared" si="31"/>
        <v>3199.4351999999999</v>
      </c>
      <c r="J376" s="299">
        <f t="shared" si="32"/>
        <v>3258.6839999999997</v>
      </c>
    </row>
    <row r="377" spans="1:10" x14ac:dyDescent="0.2">
      <c r="A377" s="297">
        <v>368</v>
      </c>
      <c r="B377" s="297">
        <v>258</v>
      </c>
      <c r="C377" s="298">
        <v>0.75</v>
      </c>
      <c r="D377" s="298">
        <v>0.79500000000000004</v>
      </c>
      <c r="E377" s="298">
        <v>0.81</v>
      </c>
      <c r="F377" s="298">
        <v>0.82499999999999996</v>
      </c>
      <c r="G377" s="299">
        <f t="shared" ref="G377:G440" si="33">G$119+$B377*C377*12</f>
        <v>2971.44</v>
      </c>
      <c r="H377" s="299">
        <f t="shared" si="30"/>
        <v>3149.7264</v>
      </c>
      <c r="I377" s="299">
        <f t="shared" si="31"/>
        <v>3209.1552000000001</v>
      </c>
      <c r="J377" s="299">
        <f t="shared" si="32"/>
        <v>3268.5839999999998</v>
      </c>
    </row>
    <row r="378" spans="1:10" x14ac:dyDescent="0.2">
      <c r="A378" s="297">
        <v>369</v>
      </c>
      <c r="B378" s="297">
        <v>259</v>
      </c>
      <c r="C378" s="298">
        <v>0.75</v>
      </c>
      <c r="D378" s="298">
        <v>0.79500000000000004</v>
      </c>
      <c r="E378" s="298">
        <v>0.81</v>
      </c>
      <c r="F378" s="298">
        <v>0.82499999999999996</v>
      </c>
      <c r="G378" s="299">
        <f t="shared" si="33"/>
        <v>2980.44</v>
      </c>
      <c r="H378" s="299">
        <f t="shared" si="30"/>
        <v>3159.2664</v>
      </c>
      <c r="I378" s="299">
        <f t="shared" si="31"/>
        <v>3218.8752000000004</v>
      </c>
      <c r="J378" s="299">
        <f t="shared" si="32"/>
        <v>3278.4839999999999</v>
      </c>
    </row>
    <row r="379" spans="1:10" x14ac:dyDescent="0.2">
      <c r="A379" s="297">
        <v>370</v>
      </c>
      <c r="B379" s="297">
        <v>260</v>
      </c>
      <c r="C379" s="298">
        <v>0.75</v>
      </c>
      <c r="D379" s="298">
        <v>0.79500000000000004</v>
      </c>
      <c r="E379" s="298">
        <v>0.81</v>
      </c>
      <c r="F379" s="298">
        <v>0.82499999999999996</v>
      </c>
      <c r="G379" s="299">
        <f t="shared" si="33"/>
        <v>2989.44</v>
      </c>
      <c r="H379" s="299">
        <f t="shared" si="30"/>
        <v>3168.8063999999999</v>
      </c>
      <c r="I379" s="299">
        <f t="shared" si="31"/>
        <v>3228.5952000000002</v>
      </c>
      <c r="J379" s="299">
        <f t="shared" si="32"/>
        <v>3288.384</v>
      </c>
    </row>
    <row r="380" spans="1:10" x14ac:dyDescent="0.2">
      <c r="A380" s="297">
        <v>371</v>
      </c>
      <c r="B380" s="297">
        <v>261</v>
      </c>
      <c r="C380" s="298">
        <v>0.75</v>
      </c>
      <c r="D380" s="298">
        <v>0.79500000000000004</v>
      </c>
      <c r="E380" s="298">
        <v>0.81</v>
      </c>
      <c r="F380" s="298">
        <v>0.82499999999999996</v>
      </c>
      <c r="G380" s="299">
        <f t="shared" si="33"/>
        <v>2998.44</v>
      </c>
      <c r="H380" s="299">
        <f t="shared" si="30"/>
        <v>3178.3463999999999</v>
      </c>
      <c r="I380" s="299">
        <f t="shared" si="31"/>
        <v>3238.3152</v>
      </c>
      <c r="J380" s="299">
        <f t="shared" si="32"/>
        <v>3298.2839999999997</v>
      </c>
    </row>
    <row r="381" spans="1:10" x14ac:dyDescent="0.2">
      <c r="A381" s="297">
        <v>372</v>
      </c>
      <c r="B381" s="297">
        <v>262</v>
      </c>
      <c r="C381" s="298">
        <v>0.75</v>
      </c>
      <c r="D381" s="298">
        <v>0.79500000000000004</v>
      </c>
      <c r="E381" s="298">
        <v>0.81</v>
      </c>
      <c r="F381" s="298">
        <v>0.82499999999999996</v>
      </c>
      <c r="G381" s="299">
        <f t="shared" si="33"/>
        <v>3007.44</v>
      </c>
      <c r="H381" s="299">
        <f t="shared" si="30"/>
        <v>3187.8864000000003</v>
      </c>
      <c r="I381" s="299">
        <f t="shared" si="31"/>
        <v>3248.0352000000003</v>
      </c>
      <c r="J381" s="299">
        <f t="shared" si="32"/>
        <v>3308.1839999999997</v>
      </c>
    </row>
    <row r="382" spans="1:10" x14ac:dyDescent="0.2">
      <c r="A382" s="297">
        <v>373</v>
      </c>
      <c r="B382" s="297">
        <v>263</v>
      </c>
      <c r="C382" s="298">
        <v>0.75</v>
      </c>
      <c r="D382" s="298">
        <v>0.79500000000000004</v>
      </c>
      <c r="E382" s="298">
        <v>0.81</v>
      </c>
      <c r="F382" s="298">
        <v>0.82499999999999996</v>
      </c>
      <c r="G382" s="299">
        <f t="shared" si="33"/>
        <v>3016.44</v>
      </c>
      <c r="H382" s="299">
        <f t="shared" si="30"/>
        <v>3197.4263999999998</v>
      </c>
      <c r="I382" s="299">
        <f t="shared" si="31"/>
        <v>3257.7552000000001</v>
      </c>
      <c r="J382" s="299">
        <f t="shared" si="32"/>
        <v>3318.0839999999998</v>
      </c>
    </row>
    <row r="383" spans="1:10" x14ac:dyDescent="0.2">
      <c r="A383" s="297">
        <v>374</v>
      </c>
      <c r="B383" s="297">
        <v>264</v>
      </c>
      <c r="C383" s="298">
        <v>0.75</v>
      </c>
      <c r="D383" s="298">
        <v>0.79500000000000004</v>
      </c>
      <c r="E383" s="298">
        <v>0.81</v>
      </c>
      <c r="F383" s="298">
        <v>0.82499999999999996</v>
      </c>
      <c r="G383" s="299">
        <f t="shared" si="33"/>
        <v>3025.44</v>
      </c>
      <c r="H383" s="299">
        <f t="shared" si="30"/>
        <v>3206.9664000000002</v>
      </c>
      <c r="I383" s="299">
        <f t="shared" si="31"/>
        <v>3267.4751999999999</v>
      </c>
      <c r="J383" s="299">
        <f t="shared" si="32"/>
        <v>3327.9839999999999</v>
      </c>
    </row>
    <row r="384" spans="1:10" x14ac:dyDescent="0.2">
      <c r="A384" s="297">
        <v>375</v>
      </c>
      <c r="B384" s="297">
        <v>265</v>
      </c>
      <c r="C384" s="298">
        <v>0.75</v>
      </c>
      <c r="D384" s="298">
        <v>0.79500000000000004</v>
      </c>
      <c r="E384" s="298">
        <v>0.81</v>
      </c>
      <c r="F384" s="298">
        <v>0.82499999999999996</v>
      </c>
      <c r="G384" s="299">
        <f t="shared" si="33"/>
        <v>3034.44</v>
      </c>
      <c r="H384" s="299">
        <f t="shared" si="30"/>
        <v>3216.5064000000002</v>
      </c>
      <c r="I384" s="299">
        <f t="shared" si="31"/>
        <v>3277.1952000000001</v>
      </c>
      <c r="J384" s="299">
        <f t="shared" si="32"/>
        <v>3337.884</v>
      </c>
    </row>
    <row r="385" spans="1:10" x14ac:dyDescent="0.2">
      <c r="A385" s="297">
        <v>376</v>
      </c>
      <c r="B385" s="297">
        <v>266</v>
      </c>
      <c r="C385" s="298">
        <v>0.75</v>
      </c>
      <c r="D385" s="298">
        <v>0.79500000000000004</v>
      </c>
      <c r="E385" s="298">
        <v>0.81</v>
      </c>
      <c r="F385" s="298">
        <v>0.82499999999999996</v>
      </c>
      <c r="G385" s="299">
        <f t="shared" si="33"/>
        <v>3043.44</v>
      </c>
      <c r="H385" s="299">
        <f t="shared" si="30"/>
        <v>3226.0463999999997</v>
      </c>
      <c r="I385" s="299">
        <f t="shared" si="31"/>
        <v>3286.9151999999999</v>
      </c>
      <c r="J385" s="299">
        <f t="shared" si="32"/>
        <v>3347.7839999999997</v>
      </c>
    </row>
    <row r="386" spans="1:10" x14ac:dyDescent="0.2">
      <c r="A386" s="297">
        <v>377</v>
      </c>
      <c r="B386" s="297">
        <v>267</v>
      </c>
      <c r="C386" s="298">
        <v>0.75</v>
      </c>
      <c r="D386" s="298">
        <v>0.79500000000000004</v>
      </c>
      <c r="E386" s="298">
        <v>0.81</v>
      </c>
      <c r="F386" s="298">
        <v>0.82499999999999996</v>
      </c>
      <c r="G386" s="299">
        <f t="shared" si="33"/>
        <v>3052.44</v>
      </c>
      <c r="H386" s="299">
        <f t="shared" si="30"/>
        <v>3235.5864000000001</v>
      </c>
      <c r="I386" s="299">
        <f t="shared" si="31"/>
        <v>3296.6352000000002</v>
      </c>
      <c r="J386" s="299">
        <f t="shared" si="32"/>
        <v>3357.6839999999997</v>
      </c>
    </row>
    <row r="387" spans="1:10" x14ac:dyDescent="0.2">
      <c r="A387" s="297">
        <v>378</v>
      </c>
      <c r="B387" s="297">
        <v>268</v>
      </c>
      <c r="C387" s="298">
        <v>0.75</v>
      </c>
      <c r="D387" s="298">
        <v>0.79500000000000004</v>
      </c>
      <c r="E387" s="298">
        <v>0.81</v>
      </c>
      <c r="F387" s="298">
        <v>0.82499999999999996</v>
      </c>
      <c r="G387" s="299">
        <f t="shared" si="33"/>
        <v>3061.44</v>
      </c>
      <c r="H387" s="299">
        <f t="shared" si="30"/>
        <v>3245.1264000000001</v>
      </c>
      <c r="I387" s="299">
        <f t="shared" si="31"/>
        <v>3306.3552</v>
      </c>
      <c r="J387" s="299">
        <f t="shared" si="32"/>
        <v>3367.5839999999998</v>
      </c>
    </row>
    <row r="388" spans="1:10" x14ac:dyDescent="0.2">
      <c r="A388" s="297">
        <v>379</v>
      </c>
      <c r="B388" s="297">
        <v>269</v>
      </c>
      <c r="C388" s="298">
        <v>0.75</v>
      </c>
      <c r="D388" s="298">
        <v>0.79500000000000004</v>
      </c>
      <c r="E388" s="298">
        <v>0.81</v>
      </c>
      <c r="F388" s="298">
        <v>0.82499999999999996</v>
      </c>
      <c r="G388" s="299">
        <f t="shared" si="33"/>
        <v>3070.44</v>
      </c>
      <c r="H388" s="299">
        <f t="shared" si="30"/>
        <v>3254.6664000000001</v>
      </c>
      <c r="I388" s="299">
        <f t="shared" si="31"/>
        <v>3316.0752000000002</v>
      </c>
      <c r="J388" s="299">
        <f t="shared" si="32"/>
        <v>3377.4839999999999</v>
      </c>
    </row>
    <row r="389" spans="1:10" x14ac:dyDescent="0.2">
      <c r="A389" s="297">
        <v>380</v>
      </c>
      <c r="B389" s="297">
        <v>270</v>
      </c>
      <c r="C389" s="298">
        <v>0.75</v>
      </c>
      <c r="D389" s="298">
        <v>0.79500000000000004</v>
      </c>
      <c r="E389" s="298">
        <v>0.81</v>
      </c>
      <c r="F389" s="298">
        <v>0.82499999999999996</v>
      </c>
      <c r="G389" s="299">
        <f t="shared" si="33"/>
        <v>3079.44</v>
      </c>
      <c r="H389" s="299">
        <f t="shared" si="30"/>
        <v>3264.2064</v>
      </c>
      <c r="I389" s="299">
        <f t="shared" si="31"/>
        <v>3325.7952</v>
      </c>
      <c r="J389" s="299">
        <f t="shared" si="32"/>
        <v>3387.384</v>
      </c>
    </row>
    <row r="390" spans="1:10" x14ac:dyDescent="0.2">
      <c r="A390" s="297">
        <v>381</v>
      </c>
      <c r="B390" s="297">
        <v>271</v>
      </c>
      <c r="C390" s="298">
        <v>0.75</v>
      </c>
      <c r="D390" s="298">
        <v>0.79500000000000004</v>
      </c>
      <c r="E390" s="298">
        <v>0.81</v>
      </c>
      <c r="F390" s="298">
        <v>0.82499999999999996</v>
      </c>
      <c r="G390" s="299">
        <f t="shared" si="33"/>
        <v>3088.44</v>
      </c>
      <c r="H390" s="299">
        <f t="shared" si="30"/>
        <v>3273.7464</v>
      </c>
      <c r="I390" s="299">
        <f t="shared" si="31"/>
        <v>3335.5152000000003</v>
      </c>
      <c r="J390" s="299">
        <f t="shared" si="32"/>
        <v>3397.2839999999997</v>
      </c>
    </row>
    <row r="391" spans="1:10" x14ac:dyDescent="0.2">
      <c r="A391" s="297">
        <v>382</v>
      </c>
      <c r="B391" s="297">
        <v>272</v>
      </c>
      <c r="C391" s="298">
        <v>0.75</v>
      </c>
      <c r="D391" s="298">
        <v>0.79500000000000004</v>
      </c>
      <c r="E391" s="298">
        <v>0.81</v>
      </c>
      <c r="F391" s="298">
        <v>0.82499999999999996</v>
      </c>
      <c r="G391" s="299">
        <f t="shared" si="33"/>
        <v>3097.44</v>
      </c>
      <c r="H391" s="299">
        <f t="shared" si="30"/>
        <v>3283.2864</v>
      </c>
      <c r="I391" s="299">
        <f t="shared" si="31"/>
        <v>3345.2352000000001</v>
      </c>
      <c r="J391" s="299">
        <f t="shared" si="32"/>
        <v>3407.1839999999997</v>
      </c>
    </row>
    <row r="392" spans="1:10" x14ac:dyDescent="0.2">
      <c r="A392" s="297">
        <v>383</v>
      </c>
      <c r="B392" s="297">
        <v>273</v>
      </c>
      <c r="C392" s="298">
        <v>0.75</v>
      </c>
      <c r="D392" s="298">
        <v>0.79500000000000004</v>
      </c>
      <c r="E392" s="298">
        <v>0.81</v>
      </c>
      <c r="F392" s="298">
        <v>0.82499999999999996</v>
      </c>
      <c r="G392" s="299">
        <f t="shared" si="33"/>
        <v>3106.44</v>
      </c>
      <c r="H392" s="299">
        <f t="shared" ref="H392:H455" si="34">H$119+$B392*D392*12</f>
        <v>3292.8263999999999</v>
      </c>
      <c r="I392" s="299">
        <f t="shared" ref="I392:I455" si="35">I$119+$B392*E392*12</f>
        <v>3354.9552000000003</v>
      </c>
      <c r="J392" s="299">
        <f t="shared" ref="J392:J455" si="36">J$119+$B392*F392*12</f>
        <v>3417.0839999999998</v>
      </c>
    </row>
    <row r="393" spans="1:10" x14ac:dyDescent="0.2">
      <c r="A393" s="297">
        <v>384</v>
      </c>
      <c r="B393" s="297">
        <v>274</v>
      </c>
      <c r="C393" s="298">
        <v>0.75</v>
      </c>
      <c r="D393" s="298">
        <v>0.79500000000000004</v>
      </c>
      <c r="E393" s="298">
        <v>0.81</v>
      </c>
      <c r="F393" s="298">
        <v>0.82499999999999996</v>
      </c>
      <c r="G393" s="299">
        <f t="shared" si="33"/>
        <v>3115.44</v>
      </c>
      <c r="H393" s="299">
        <f t="shared" si="34"/>
        <v>3302.3663999999999</v>
      </c>
      <c r="I393" s="299">
        <f t="shared" si="35"/>
        <v>3364.6752000000001</v>
      </c>
      <c r="J393" s="299">
        <f t="shared" si="36"/>
        <v>3426.9839999999999</v>
      </c>
    </row>
    <row r="394" spans="1:10" x14ac:dyDescent="0.2">
      <c r="A394" s="297">
        <v>385</v>
      </c>
      <c r="B394" s="297">
        <v>275</v>
      </c>
      <c r="C394" s="298">
        <v>0.75</v>
      </c>
      <c r="D394" s="298">
        <v>0.79500000000000004</v>
      </c>
      <c r="E394" s="298">
        <v>0.81</v>
      </c>
      <c r="F394" s="298">
        <v>0.82499999999999996</v>
      </c>
      <c r="G394" s="299">
        <f t="shared" si="33"/>
        <v>3124.44</v>
      </c>
      <c r="H394" s="299">
        <f t="shared" si="34"/>
        <v>3311.9063999999998</v>
      </c>
      <c r="I394" s="299">
        <f t="shared" si="35"/>
        <v>3374.3952000000004</v>
      </c>
      <c r="J394" s="299">
        <f t="shared" si="36"/>
        <v>3436.884</v>
      </c>
    </row>
    <row r="395" spans="1:10" x14ac:dyDescent="0.2">
      <c r="A395" s="297">
        <v>386</v>
      </c>
      <c r="B395" s="297">
        <v>276</v>
      </c>
      <c r="C395" s="298">
        <v>0.75</v>
      </c>
      <c r="D395" s="298">
        <v>0.79500000000000004</v>
      </c>
      <c r="E395" s="298">
        <v>0.81</v>
      </c>
      <c r="F395" s="298">
        <v>0.82499999999999996</v>
      </c>
      <c r="G395" s="299">
        <f t="shared" si="33"/>
        <v>3133.44</v>
      </c>
      <c r="H395" s="299">
        <f t="shared" si="34"/>
        <v>3321.4463999999998</v>
      </c>
      <c r="I395" s="299">
        <f t="shared" si="35"/>
        <v>3384.1152000000002</v>
      </c>
      <c r="J395" s="299">
        <f t="shared" si="36"/>
        <v>3446.7839999999997</v>
      </c>
    </row>
    <row r="396" spans="1:10" x14ac:dyDescent="0.2">
      <c r="A396" s="297">
        <v>387</v>
      </c>
      <c r="B396" s="297">
        <v>277</v>
      </c>
      <c r="C396" s="298">
        <v>0.75</v>
      </c>
      <c r="D396" s="298">
        <v>0.79500000000000004</v>
      </c>
      <c r="E396" s="298">
        <v>0.81</v>
      </c>
      <c r="F396" s="298">
        <v>0.82499999999999996</v>
      </c>
      <c r="G396" s="299">
        <f t="shared" si="33"/>
        <v>3142.44</v>
      </c>
      <c r="H396" s="299">
        <f t="shared" si="34"/>
        <v>3330.9863999999998</v>
      </c>
      <c r="I396" s="299">
        <f t="shared" si="35"/>
        <v>3393.8352</v>
      </c>
      <c r="J396" s="299">
        <f t="shared" si="36"/>
        <v>3456.6839999999997</v>
      </c>
    </row>
    <row r="397" spans="1:10" x14ac:dyDescent="0.2">
      <c r="A397" s="297">
        <v>388</v>
      </c>
      <c r="B397" s="297">
        <v>278</v>
      </c>
      <c r="C397" s="298">
        <v>0.75</v>
      </c>
      <c r="D397" s="298">
        <v>0.79500000000000004</v>
      </c>
      <c r="E397" s="298">
        <v>0.81</v>
      </c>
      <c r="F397" s="298">
        <v>0.82499999999999996</v>
      </c>
      <c r="G397" s="299">
        <f t="shared" si="33"/>
        <v>3151.44</v>
      </c>
      <c r="H397" s="299">
        <f t="shared" si="34"/>
        <v>3340.5264000000002</v>
      </c>
      <c r="I397" s="299">
        <f t="shared" si="35"/>
        <v>3403.5551999999998</v>
      </c>
      <c r="J397" s="299">
        <f t="shared" si="36"/>
        <v>3466.5839999999998</v>
      </c>
    </row>
    <row r="398" spans="1:10" x14ac:dyDescent="0.2">
      <c r="A398" s="297">
        <v>389</v>
      </c>
      <c r="B398" s="297">
        <v>279</v>
      </c>
      <c r="C398" s="298">
        <v>0.75</v>
      </c>
      <c r="D398" s="298">
        <v>0.79500000000000004</v>
      </c>
      <c r="E398" s="298">
        <v>0.81</v>
      </c>
      <c r="F398" s="298">
        <v>0.82499999999999996</v>
      </c>
      <c r="G398" s="299">
        <f t="shared" si="33"/>
        <v>3160.44</v>
      </c>
      <c r="H398" s="299">
        <f t="shared" si="34"/>
        <v>3350.0663999999997</v>
      </c>
      <c r="I398" s="299">
        <f t="shared" si="35"/>
        <v>3413.2752</v>
      </c>
      <c r="J398" s="299">
        <f t="shared" si="36"/>
        <v>3476.4839999999999</v>
      </c>
    </row>
    <row r="399" spans="1:10" x14ac:dyDescent="0.2">
      <c r="A399" s="297">
        <v>390</v>
      </c>
      <c r="B399" s="297">
        <v>280</v>
      </c>
      <c r="C399" s="298">
        <v>0.75</v>
      </c>
      <c r="D399" s="298">
        <v>0.79500000000000004</v>
      </c>
      <c r="E399" s="298">
        <v>0.81</v>
      </c>
      <c r="F399" s="298">
        <v>0.82499999999999996</v>
      </c>
      <c r="G399" s="299">
        <f t="shared" si="33"/>
        <v>3169.44</v>
      </c>
      <c r="H399" s="299">
        <f t="shared" si="34"/>
        <v>3359.6064000000001</v>
      </c>
      <c r="I399" s="299">
        <f t="shared" si="35"/>
        <v>3422.9952000000003</v>
      </c>
      <c r="J399" s="299">
        <f t="shared" si="36"/>
        <v>3486.384</v>
      </c>
    </row>
    <row r="400" spans="1:10" x14ac:dyDescent="0.2">
      <c r="A400" s="297">
        <v>391</v>
      </c>
      <c r="B400" s="297">
        <v>281</v>
      </c>
      <c r="C400" s="298">
        <v>0.75</v>
      </c>
      <c r="D400" s="298">
        <v>0.79500000000000004</v>
      </c>
      <c r="E400" s="298">
        <v>0.81</v>
      </c>
      <c r="F400" s="298">
        <v>0.82499999999999996</v>
      </c>
      <c r="G400" s="299">
        <f t="shared" si="33"/>
        <v>3178.44</v>
      </c>
      <c r="H400" s="299">
        <f t="shared" si="34"/>
        <v>3369.1464000000001</v>
      </c>
      <c r="I400" s="299">
        <f t="shared" si="35"/>
        <v>3432.7152000000001</v>
      </c>
      <c r="J400" s="299">
        <f t="shared" si="36"/>
        <v>3496.2839999999997</v>
      </c>
    </row>
    <row r="401" spans="1:10" x14ac:dyDescent="0.2">
      <c r="A401" s="297">
        <v>392</v>
      </c>
      <c r="B401" s="297">
        <v>282</v>
      </c>
      <c r="C401" s="298">
        <v>0.75</v>
      </c>
      <c r="D401" s="298">
        <v>0.79500000000000004</v>
      </c>
      <c r="E401" s="298">
        <v>0.81</v>
      </c>
      <c r="F401" s="298">
        <v>0.82499999999999996</v>
      </c>
      <c r="G401" s="299">
        <f t="shared" si="33"/>
        <v>3187.44</v>
      </c>
      <c r="H401" s="299">
        <f t="shared" si="34"/>
        <v>3378.6863999999996</v>
      </c>
      <c r="I401" s="299">
        <f t="shared" si="35"/>
        <v>3442.4351999999999</v>
      </c>
      <c r="J401" s="299">
        <f t="shared" si="36"/>
        <v>3506.1839999999997</v>
      </c>
    </row>
    <row r="402" spans="1:10" x14ac:dyDescent="0.2">
      <c r="A402" s="297">
        <v>393</v>
      </c>
      <c r="B402" s="297">
        <v>283</v>
      </c>
      <c r="C402" s="298">
        <v>0.75</v>
      </c>
      <c r="D402" s="298">
        <v>0.79500000000000004</v>
      </c>
      <c r="E402" s="298">
        <v>0.81</v>
      </c>
      <c r="F402" s="298">
        <v>0.82499999999999996</v>
      </c>
      <c r="G402" s="299">
        <f t="shared" si="33"/>
        <v>3196.44</v>
      </c>
      <c r="H402" s="299">
        <f t="shared" si="34"/>
        <v>3388.2264</v>
      </c>
      <c r="I402" s="299">
        <f t="shared" si="35"/>
        <v>3452.1552000000001</v>
      </c>
      <c r="J402" s="299">
        <f t="shared" si="36"/>
        <v>3516.0839999999998</v>
      </c>
    </row>
    <row r="403" spans="1:10" x14ac:dyDescent="0.2">
      <c r="A403" s="297">
        <v>394</v>
      </c>
      <c r="B403" s="297">
        <v>284</v>
      </c>
      <c r="C403" s="298">
        <v>0.75</v>
      </c>
      <c r="D403" s="298">
        <v>0.79500000000000004</v>
      </c>
      <c r="E403" s="298">
        <v>0.81</v>
      </c>
      <c r="F403" s="298">
        <v>0.82499999999999996</v>
      </c>
      <c r="G403" s="299">
        <f t="shared" si="33"/>
        <v>3205.44</v>
      </c>
      <c r="H403" s="299">
        <f t="shared" si="34"/>
        <v>3397.7664</v>
      </c>
      <c r="I403" s="299">
        <f t="shared" si="35"/>
        <v>3461.8752000000004</v>
      </c>
      <c r="J403" s="299">
        <f t="shared" si="36"/>
        <v>3525.9839999999999</v>
      </c>
    </row>
    <row r="404" spans="1:10" x14ac:dyDescent="0.2">
      <c r="A404" s="297">
        <v>395</v>
      </c>
      <c r="B404" s="297">
        <v>285</v>
      </c>
      <c r="C404" s="298">
        <v>0.75</v>
      </c>
      <c r="D404" s="298">
        <v>0.79500000000000004</v>
      </c>
      <c r="E404" s="298">
        <v>0.81</v>
      </c>
      <c r="F404" s="298">
        <v>0.82499999999999996</v>
      </c>
      <c r="G404" s="299">
        <f t="shared" si="33"/>
        <v>3214.44</v>
      </c>
      <c r="H404" s="299">
        <f t="shared" si="34"/>
        <v>3407.3063999999999</v>
      </c>
      <c r="I404" s="299">
        <f t="shared" si="35"/>
        <v>3471.5952000000002</v>
      </c>
      <c r="J404" s="299">
        <f t="shared" si="36"/>
        <v>3535.884</v>
      </c>
    </row>
    <row r="405" spans="1:10" x14ac:dyDescent="0.2">
      <c r="A405" s="297">
        <v>396</v>
      </c>
      <c r="B405" s="297">
        <v>286</v>
      </c>
      <c r="C405" s="298">
        <v>0.75</v>
      </c>
      <c r="D405" s="298">
        <v>0.79500000000000004</v>
      </c>
      <c r="E405" s="298">
        <v>0.81</v>
      </c>
      <c r="F405" s="298">
        <v>0.82499999999999996</v>
      </c>
      <c r="G405" s="299">
        <f t="shared" si="33"/>
        <v>3223.44</v>
      </c>
      <c r="H405" s="299">
        <f t="shared" si="34"/>
        <v>3416.8463999999999</v>
      </c>
      <c r="I405" s="299">
        <f t="shared" si="35"/>
        <v>3481.3152</v>
      </c>
      <c r="J405" s="299">
        <f t="shared" si="36"/>
        <v>3545.7839999999997</v>
      </c>
    </row>
    <row r="406" spans="1:10" x14ac:dyDescent="0.2">
      <c r="A406" s="297">
        <v>397</v>
      </c>
      <c r="B406" s="297">
        <v>287</v>
      </c>
      <c r="C406" s="298">
        <v>0.75</v>
      </c>
      <c r="D406" s="298">
        <v>0.79500000000000004</v>
      </c>
      <c r="E406" s="298">
        <v>0.81</v>
      </c>
      <c r="F406" s="298">
        <v>0.82499999999999996</v>
      </c>
      <c r="G406" s="299">
        <f t="shared" si="33"/>
        <v>3232.44</v>
      </c>
      <c r="H406" s="299">
        <f t="shared" si="34"/>
        <v>3426.3864000000003</v>
      </c>
      <c r="I406" s="299">
        <f t="shared" si="35"/>
        <v>3491.0352000000003</v>
      </c>
      <c r="J406" s="299">
        <f t="shared" si="36"/>
        <v>3555.6839999999997</v>
      </c>
    </row>
    <row r="407" spans="1:10" x14ac:dyDescent="0.2">
      <c r="A407" s="297">
        <v>398</v>
      </c>
      <c r="B407" s="297">
        <v>288</v>
      </c>
      <c r="C407" s="298">
        <v>0.75</v>
      </c>
      <c r="D407" s="298">
        <v>0.79500000000000004</v>
      </c>
      <c r="E407" s="298">
        <v>0.81</v>
      </c>
      <c r="F407" s="298">
        <v>0.82499999999999996</v>
      </c>
      <c r="G407" s="299">
        <f t="shared" si="33"/>
        <v>3241.44</v>
      </c>
      <c r="H407" s="299">
        <f t="shared" si="34"/>
        <v>3435.9263999999998</v>
      </c>
      <c r="I407" s="299">
        <f t="shared" si="35"/>
        <v>3500.7552000000005</v>
      </c>
      <c r="J407" s="299">
        <f t="shared" si="36"/>
        <v>3565.5839999999998</v>
      </c>
    </row>
    <row r="408" spans="1:10" x14ac:dyDescent="0.2">
      <c r="A408" s="297">
        <v>399</v>
      </c>
      <c r="B408" s="297">
        <v>289</v>
      </c>
      <c r="C408" s="298">
        <v>0.75</v>
      </c>
      <c r="D408" s="298">
        <v>0.79500000000000004</v>
      </c>
      <c r="E408" s="298">
        <v>0.81</v>
      </c>
      <c r="F408" s="298">
        <v>0.82499999999999996</v>
      </c>
      <c r="G408" s="299">
        <f t="shared" si="33"/>
        <v>3250.44</v>
      </c>
      <c r="H408" s="299">
        <f t="shared" si="34"/>
        <v>3445.4664000000002</v>
      </c>
      <c r="I408" s="299">
        <f t="shared" si="35"/>
        <v>3510.4751999999999</v>
      </c>
      <c r="J408" s="299">
        <f t="shared" si="36"/>
        <v>3575.4839999999999</v>
      </c>
    </row>
    <row r="409" spans="1:10" x14ac:dyDescent="0.2">
      <c r="A409" s="297">
        <v>400</v>
      </c>
      <c r="B409" s="297">
        <v>290</v>
      </c>
      <c r="C409" s="298">
        <v>0.75</v>
      </c>
      <c r="D409" s="298">
        <v>0.79500000000000004</v>
      </c>
      <c r="E409" s="298">
        <v>0.81</v>
      </c>
      <c r="F409" s="298">
        <v>0.82499999999999996</v>
      </c>
      <c r="G409" s="299">
        <f t="shared" si="33"/>
        <v>3259.44</v>
      </c>
      <c r="H409" s="299">
        <f t="shared" si="34"/>
        <v>3455.0064000000002</v>
      </c>
      <c r="I409" s="299">
        <f t="shared" si="35"/>
        <v>3520.1952000000001</v>
      </c>
      <c r="J409" s="299">
        <f t="shared" si="36"/>
        <v>3585.384</v>
      </c>
    </row>
    <row r="410" spans="1:10" x14ac:dyDescent="0.2">
      <c r="A410" s="297">
        <v>401</v>
      </c>
      <c r="B410" s="297">
        <v>291</v>
      </c>
      <c r="C410" s="298">
        <v>0.75</v>
      </c>
      <c r="D410" s="298">
        <v>0.79500000000000004</v>
      </c>
      <c r="E410" s="298">
        <v>0.81</v>
      </c>
      <c r="F410" s="298">
        <v>0.82499999999999996</v>
      </c>
      <c r="G410" s="299">
        <f t="shared" si="33"/>
        <v>3268.44</v>
      </c>
      <c r="H410" s="299">
        <f t="shared" si="34"/>
        <v>3464.5463999999997</v>
      </c>
      <c r="I410" s="299">
        <f t="shared" si="35"/>
        <v>3529.9151999999999</v>
      </c>
      <c r="J410" s="299">
        <f t="shared" si="36"/>
        <v>3595.2839999999997</v>
      </c>
    </row>
    <row r="411" spans="1:10" x14ac:dyDescent="0.2">
      <c r="A411" s="297">
        <v>402</v>
      </c>
      <c r="B411" s="297">
        <v>292</v>
      </c>
      <c r="C411" s="298">
        <v>0.75</v>
      </c>
      <c r="D411" s="298">
        <v>0.79500000000000004</v>
      </c>
      <c r="E411" s="298">
        <v>0.81</v>
      </c>
      <c r="F411" s="298">
        <v>0.82499999999999996</v>
      </c>
      <c r="G411" s="299">
        <f t="shared" si="33"/>
        <v>3277.44</v>
      </c>
      <c r="H411" s="299">
        <f t="shared" si="34"/>
        <v>3474.0864000000001</v>
      </c>
      <c r="I411" s="299">
        <f t="shared" si="35"/>
        <v>3539.6352000000002</v>
      </c>
      <c r="J411" s="299">
        <f t="shared" si="36"/>
        <v>3605.1839999999997</v>
      </c>
    </row>
    <row r="412" spans="1:10" x14ac:dyDescent="0.2">
      <c r="A412" s="297">
        <v>403</v>
      </c>
      <c r="B412" s="297">
        <v>293</v>
      </c>
      <c r="C412" s="298">
        <v>0.75</v>
      </c>
      <c r="D412" s="298">
        <v>0.79500000000000004</v>
      </c>
      <c r="E412" s="298">
        <v>0.81</v>
      </c>
      <c r="F412" s="298">
        <v>0.82499999999999996</v>
      </c>
      <c r="G412" s="299">
        <f t="shared" si="33"/>
        <v>3286.44</v>
      </c>
      <c r="H412" s="299">
        <f t="shared" si="34"/>
        <v>3483.6264000000001</v>
      </c>
      <c r="I412" s="299">
        <f t="shared" si="35"/>
        <v>3549.3552</v>
      </c>
      <c r="J412" s="299">
        <f t="shared" si="36"/>
        <v>3615.0839999999998</v>
      </c>
    </row>
    <row r="413" spans="1:10" x14ac:dyDescent="0.2">
      <c r="A413" s="297">
        <v>404</v>
      </c>
      <c r="B413" s="297">
        <v>294</v>
      </c>
      <c r="C413" s="298">
        <v>0.75</v>
      </c>
      <c r="D413" s="298">
        <v>0.79500000000000004</v>
      </c>
      <c r="E413" s="298">
        <v>0.81</v>
      </c>
      <c r="F413" s="298">
        <v>0.82499999999999996</v>
      </c>
      <c r="G413" s="299">
        <f t="shared" si="33"/>
        <v>3295.44</v>
      </c>
      <c r="H413" s="299">
        <f t="shared" si="34"/>
        <v>3493.1664000000001</v>
      </c>
      <c r="I413" s="299">
        <f t="shared" si="35"/>
        <v>3559.0752000000002</v>
      </c>
      <c r="J413" s="299">
        <f t="shared" si="36"/>
        <v>3624.9839999999999</v>
      </c>
    </row>
    <row r="414" spans="1:10" x14ac:dyDescent="0.2">
      <c r="A414" s="297">
        <v>405</v>
      </c>
      <c r="B414" s="297">
        <v>295</v>
      </c>
      <c r="C414" s="298">
        <v>0.75</v>
      </c>
      <c r="D414" s="298">
        <v>0.79500000000000004</v>
      </c>
      <c r="E414" s="298">
        <v>0.81</v>
      </c>
      <c r="F414" s="298">
        <v>0.82499999999999996</v>
      </c>
      <c r="G414" s="299">
        <f t="shared" si="33"/>
        <v>3304.44</v>
      </c>
      <c r="H414" s="299">
        <f t="shared" si="34"/>
        <v>3502.7064</v>
      </c>
      <c r="I414" s="299">
        <f t="shared" si="35"/>
        <v>3568.7952</v>
      </c>
      <c r="J414" s="299">
        <f t="shared" si="36"/>
        <v>3634.884</v>
      </c>
    </row>
    <row r="415" spans="1:10" x14ac:dyDescent="0.2">
      <c r="A415" s="297">
        <v>406</v>
      </c>
      <c r="B415" s="297">
        <v>296</v>
      </c>
      <c r="C415" s="298">
        <v>0.75</v>
      </c>
      <c r="D415" s="298">
        <v>0.79500000000000004</v>
      </c>
      <c r="E415" s="298">
        <v>0.81</v>
      </c>
      <c r="F415" s="298">
        <v>0.82499999999999996</v>
      </c>
      <c r="G415" s="299">
        <f t="shared" si="33"/>
        <v>3313.44</v>
      </c>
      <c r="H415" s="299">
        <f t="shared" si="34"/>
        <v>3512.2464</v>
      </c>
      <c r="I415" s="299">
        <f t="shared" si="35"/>
        <v>3578.5152000000003</v>
      </c>
      <c r="J415" s="299">
        <f t="shared" si="36"/>
        <v>3644.7839999999997</v>
      </c>
    </row>
    <row r="416" spans="1:10" x14ac:dyDescent="0.2">
      <c r="A416" s="297">
        <v>407</v>
      </c>
      <c r="B416" s="297">
        <v>297</v>
      </c>
      <c r="C416" s="298">
        <v>0.75</v>
      </c>
      <c r="D416" s="298">
        <v>0.79500000000000004</v>
      </c>
      <c r="E416" s="298">
        <v>0.81</v>
      </c>
      <c r="F416" s="298">
        <v>0.82499999999999996</v>
      </c>
      <c r="G416" s="299">
        <f t="shared" si="33"/>
        <v>3322.44</v>
      </c>
      <c r="H416" s="299">
        <f t="shared" si="34"/>
        <v>3521.7864</v>
      </c>
      <c r="I416" s="299">
        <f t="shared" si="35"/>
        <v>3588.2352000000001</v>
      </c>
      <c r="J416" s="299">
        <f t="shared" si="36"/>
        <v>3654.6839999999997</v>
      </c>
    </row>
    <row r="417" spans="1:10" x14ac:dyDescent="0.2">
      <c r="A417" s="297">
        <v>408</v>
      </c>
      <c r="B417" s="297">
        <v>298</v>
      </c>
      <c r="C417" s="298">
        <v>0.75</v>
      </c>
      <c r="D417" s="298">
        <v>0.79500000000000004</v>
      </c>
      <c r="E417" s="298">
        <v>0.81</v>
      </c>
      <c r="F417" s="298">
        <v>0.82499999999999996</v>
      </c>
      <c r="G417" s="299">
        <f t="shared" si="33"/>
        <v>3331.44</v>
      </c>
      <c r="H417" s="299">
        <f t="shared" si="34"/>
        <v>3531.3263999999999</v>
      </c>
      <c r="I417" s="299">
        <f t="shared" si="35"/>
        <v>3597.9552000000003</v>
      </c>
      <c r="J417" s="299">
        <f t="shared" si="36"/>
        <v>3664.5839999999998</v>
      </c>
    </row>
    <row r="418" spans="1:10" x14ac:dyDescent="0.2">
      <c r="A418" s="297">
        <v>409</v>
      </c>
      <c r="B418" s="297">
        <v>299</v>
      </c>
      <c r="C418" s="298">
        <v>0.75</v>
      </c>
      <c r="D418" s="298">
        <v>0.79500000000000004</v>
      </c>
      <c r="E418" s="298">
        <v>0.81</v>
      </c>
      <c r="F418" s="298">
        <v>0.82499999999999996</v>
      </c>
      <c r="G418" s="299">
        <f t="shared" si="33"/>
        <v>3340.44</v>
      </c>
      <c r="H418" s="299">
        <f t="shared" si="34"/>
        <v>3540.8663999999999</v>
      </c>
      <c r="I418" s="299">
        <f t="shared" si="35"/>
        <v>3607.6752000000001</v>
      </c>
      <c r="J418" s="299">
        <f t="shared" si="36"/>
        <v>3674.4839999999999</v>
      </c>
    </row>
    <row r="419" spans="1:10" x14ac:dyDescent="0.2">
      <c r="A419" s="297">
        <v>410</v>
      </c>
      <c r="B419" s="297">
        <v>300</v>
      </c>
      <c r="C419" s="298">
        <v>0.75</v>
      </c>
      <c r="D419" s="298">
        <v>0.79500000000000004</v>
      </c>
      <c r="E419" s="298">
        <v>0.81</v>
      </c>
      <c r="F419" s="298">
        <v>0.82499999999999996</v>
      </c>
      <c r="G419" s="299">
        <f t="shared" si="33"/>
        <v>3349.44</v>
      </c>
      <c r="H419" s="299">
        <f t="shared" si="34"/>
        <v>3550.4063999999998</v>
      </c>
      <c r="I419" s="299">
        <f t="shared" si="35"/>
        <v>3617.3952000000004</v>
      </c>
      <c r="J419" s="299">
        <f t="shared" si="36"/>
        <v>3684.384</v>
      </c>
    </row>
    <row r="420" spans="1:10" x14ac:dyDescent="0.2">
      <c r="A420" s="297">
        <v>411</v>
      </c>
      <c r="B420" s="297">
        <v>301</v>
      </c>
      <c r="C420" s="298">
        <v>0.75</v>
      </c>
      <c r="D420" s="298">
        <v>0.79500000000000004</v>
      </c>
      <c r="E420" s="298">
        <v>0.81</v>
      </c>
      <c r="F420" s="298">
        <v>0.82499999999999996</v>
      </c>
      <c r="G420" s="299">
        <f t="shared" si="33"/>
        <v>3358.44</v>
      </c>
      <c r="H420" s="299">
        <f t="shared" si="34"/>
        <v>3559.9463999999998</v>
      </c>
      <c r="I420" s="299">
        <f t="shared" si="35"/>
        <v>3627.1152000000002</v>
      </c>
      <c r="J420" s="299">
        <f t="shared" si="36"/>
        <v>3694.2839999999997</v>
      </c>
    </row>
    <row r="421" spans="1:10" x14ac:dyDescent="0.2">
      <c r="A421" s="297">
        <v>412</v>
      </c>
      <c r="B421" s="297">
        <v>302</v>
      </c>
      <c r="C421" s="298">
        <v>0.75</v>
      </c>
      <c r="D421" s="298">
        <v>0.79500000000000004</v>
      </c>
      <c r="E421" s="298">
        <v>0.81</v>
      </c>
      <c r="F421" s="298">
        <v>0.82499999999999996</v>
      </c>
      <c r="G421" s="299">
        <f t="shared" si="33"/>
        <v>3367.44</v>
      </c>
      <c r="H421" s="299">
        <f t="shared" si="34"/>
        <v>3569.4863999999998</v>
      </c>
      <c r="I421" s="299">
        <f t="shared" si="35"/>
        <v>3636.8352</v>
      </c>
      <c r="J421" s="299">
        <f t="shared" si="36"/>
        <v>3704.1839999999997</v>
      </c>
    </row>
    <row r="422" spans="1:10" x14ac:dyDescent="0.2">
      <c r="A422" s="297">
        <v>413</v>
      </c>
      <c r="B422" s="297">
        <v>303</v>
      </c>
      <c r="C422" s="298">
        <v>0.75</v>
      </c>
      <c r="D422" s="298">
        <v>0.79500000000000004</v>
      </c>
      <c r="E422" s="298">
        <v>0.81</v>
      </c>
      <c r="F422" s="298">
        <v>0.82499999999999996</v>
      </c>
      <c r="G422" s="299">
        <f t="shared" si="33"/>
        <v>3376.44</v>
      </c>
      <c r="H422" s="299">
        <f t="shared" si="34"/>
        <v>3579.0264000000002</v>
      </c>
      <c r="I422" s="299">
        <f t="shared" si="35"/>
        <v>3646.5551999999998</v>
      </c>
      <c r="J422" s="299">
        <f t="shared" si="36"/>
        <v>3714.0839999999998</v>
      </c>
    </row>
    <row r="423" spans="1:10" x14ac:dyDescent="0.2">
      <c r="A423" s="297">
        <v>414</v>
      </c>
      <c r="B423" s="297">
        <v>304</v>
      </c>
      <c r="C423" s="298">
        <v>0.75</v>
      </c>
      <c r="D423" s="298">
        <v>0.79500000000000004</v>
      </c>
      <c r="E423" s="298">
        <v>0.81</v>
      </c>
      <c r="F423" s="298">
        <v>0.82499999999999996</v>
      </c>
      <c r="G423" s="299">
        <f t="shared" si="33"/>
        <v>3385.44</v>
      </c>
      <c r="H423" s="299">
        <f t="shared" si="34"/>
        <v>3588.5663999999997</v>
      </c>
      <c r="I423" s="299">
        <f t="shared" si="35"/>
        <v>3656.2752</v>
      </c>
      <c r="J423" s="299">
        <f t="shared" si="36"/>
        <v>3723.9839999999999</v>
      </c>
    </row>
    <row r="424" spans="1:10" x14ac:dyDescent="0.2">
      <c r="A424" s="297">
        <v>415</v>
      </c>
      <c r="B424" s="297">
        <v>305</v>
      </c>
      <c r="C424" s="298">
        <v>0.75</v>
      </c>
      <c r="D424" s="298">
        <v>0.79500000000000004</v>
      </c>
      <c r="E424" s="298">
        <v>0.81</v>
      </c>
      <c r="F424" s="298">
        <v>0.82499999999999996</v>
      </c>
      <c r="G424" s="299">
        <f t="shared" si="33"/>
        <v>3394.44</v>
      </c>
      <c r="H424" s="299">
        <f t="shared" si="34"/>
        <v>3598.1064000000001</v>
      </c>
      <c r="I424" s="299">
        <f t="shared" si="35"/>
        <v>3665.9952000000003</v>
      </c>
      <c r="J424" s="299">
        <f t="shared" si="36"/>
        <v>3733.884</v>
      </c>
    </row>
    <row r="425" spans="1:10" x14ac:dyDescent="0.2">
      <c r="A425" s="297">
        <v>416</v>
      </c>
      <c r="B425" s="297">
        <v>306</v>
      </c>
      <c r="C425" s="298">
        <v>0.75</v>
      </c>
      <c r="D425" s="298">
        <v>0.79500000000000004</v>
      </c>
      <c r="E425" s="298">
        <v>0.81</v>
      </c>
      <c r="F425" s="298">
        <v>0.82499999999999996</v>
      </c>
      <c r="G425" s="299">
        <f t="shared" si="33"/>
        <v>3403.44</v>
      </c>
      <c r="H425" s="299">
        <f t="shared" si="34"/>
        <v>3607.6464000000001</v>
      </c>
      <c r="I425" s="299">
        <f t="shared" si="35"/>
        <v>3675.7152000000001</v>
      </c>
      <c r="J425" s="299">
        <f t="shared" si="36"/>
        <v>3743.7839999999997</v>
      </c>
    </row>
    <row r="426" spans="1:10" x14ac:dyDescent="0.2">
      <c r="A426" s="297">
        <v>417</v>
      </c>
      <c r="B426" s="297">
        <v>307</v>
      </c>
      <c r="C426" s="298">
        <v>0.75</v>
      </c>
      <c r="D426" s="298">
        <v>0.79500000000000004</v>
      </c>
      <c r="E426" s="298">
        <v>0.81</v>
      </c>
      <c r="F426" s="298">
        <v>0.82499999999999996</v>
      </c>
      <c r="G426" s="299">
        <f t="shared" si="33"/>
        <v>3412.44</v>
      </c>
      <c r="H426" s="299">
        <f t="shared" si="34"/>
        <v>3617.1864</v>
      </c>
      <c r="I426" s="299">
        <f t="shared" si="35"/>
        <v>3685.4351999999999</v>
      </c>
      <c r="J426" s="299">
        <f t="shared" si="36"/>
        <v>3753.6839999999997</v>
      </c>
    </row>
    <row r="427" spans="1:10" x14ac:dyDescent="0.2">
      <c r="A427" s="297">
        <v>418</v>
      </c>
      <c r="B427" s="297">
        <v>308</v>
      </c>
      <c r="C427" s="298">
        <v>0.75</v>
      </c>
      <c r="D427" s="298">
        <v>0.79500000000000004</v>
      </c>
      <c r="E427" s="298">
        <v>0.81</v>
      </c>
      <c r="F427" s="298">
        <v>0.82499999999999996</v>
      </c>
      <c r="G427" s="299">
        <f t="shared" si="33"/>
        <v>3421.44</v>
      </c>
      <c r="H427" s="299">
        <f t="shared" si="34"/>
        <v>3626.7264</v>
      </c>
      <c r="I427" s="299">
        <f t="shared" si="35"/>
        <v>3695.1552000000001</v>
      </c>
      <c r="J427" s="299">
        <f t="shared" si="36"/>
        <v>3763.5839999999998</v>
      </c>
    </row>
    <row r="428" spans="1:10" x14ac:dyDescent="0.2">
      <c r="A428" s="297">
        <v>419</v>
      </c>
      <c r="B428" s="297">
        <v>309</v>
      </c>
      <c r="C428" s="298">
        <v>0.75</v>
      </c>
      <c r="D428" s="298">
        <v>0.79500000000000004</v>
      </c>
      <c r="E428" s="298">
        <v>0.81</v>
      </c>
      <c r="F428" s="298">
        <v>0.82499999999999996</v>
      </c>
      <c r="G428" s="299">
        <f t="shared" si="33"/>
        <v>3430.44</v>
      </c>
      <c r="H428" s="299">
        <f t="shared" si="34"/>
        <v>3636.2664</v>
      </c>
      <c r="I428" s="299">
        <f t="shared" si="35"/>
        <v>3704.8752000000004</v>
      </c>
      <c r="J428" s="299">
        <f t="shared" si="36"/>
        <v>3773.4839999999999</v>
      </c>
    </row>
    <row r="429" spans="1:10" x14ac:dyDescent="0.2">
      <c r="A429" s="297">
        <v>420</v>
      </c>
      <c r="B429" s="297">
        <v>310</v>
      </c>
      <c r="C429" s="298">
        <v>0.75</v>
      </c>
      <c r="D429" s="298">
        <v>0.79500000000000004</v>
      </c>
      <c r="E429" s="298">
        <v>0.81</v>
      </c>
      <c r="F429" s="298">
        <v>0.82499999999999996</v>
      </c>
      <c r="G429" s="299">
        <f t="shared" si="33"/>
        <v>3439.44</v>
      </c>
      <c r="H429" s="299">
        <f t="shared" si="34"/>
        <v>3645.8063999999999</v>
      </c>
      <c r="I429" s="299">
        <f t="shared" si="35"/>
        <v>3714.5952000000002</v>
      </c>
      <c r="J429" s="299">
        <f t="shared" si="36"/>
        <v>3783.384</v>
      </c>
    </row>
    <row r="430" spans="1:10" x14ac:dyDescent="0.2">
      <c r="A430" s="297">
        <v>421</v>
      </c>
      <c r="B430" s="297">
        <v>311</v>
      </c>
      <c r="C430" s="298">
        <v>0.75</v>
      </c>
      <c r="D430" s="298">
        <v>0.79500000000000004</v>
      </c>
      <c r="E430" s="298">
        <v>0.81</v>
      </c>
      <c r="F430" s="298">
        <v>0.82499999999999996</v>
      </c>
      <c r="G430" s="299">
        <f t="shared" si="33"/>
        <v>3448.44</v>
      </c>
      <c r="H430" s="299">
        <f t="shared" si="34"/>
        <v>3655.3463999999999</v>
      </c>
      <c r="I430" s="299">
        <f t="shared" si="35"/>
        <v>3724.3152</v>
      </c>
      <c r="J430" s="299">
        <f t="shared" si="36"/>
        <v>3793.2839999999997</v>
      </c>
    </row>
    <row r="431" spans="1:10" x14ac:dyDescent="0.2">
      <c r="A431" s="297">
        <v>422</v>
      </c>
      <c r="B431" s="297">
        <v>312</v>
      </c>
      <c r="C431" s="298">
        <v>0.75</v>
      </c>
      <c r="D431" s="298">
        <v>0.79500000000000004</v>
      </c>
      <c r="E431" s="298">
        <v>0.81</v>
      </c>
      <c r="F431" s="298">
        <v>0.82499999999999996</v>
      </c>
      <c r="G431" s="299">
        <f t="shared" si="33"/>
        <v>3457.44</v>
      </c>
      <c r="H431" s="299">
        <f t="shared" si="34"/>
        <v>3664.8864000000003</v>
      </c>
      <c r="I431" s="299">
        <f t="shared" si="35"/>
        <v>3734.0352000000003</v>
      </c>
      <c r="J431" s="299">
        <f t="shared" si="36"/>
        <v>3803.1839999999997</v>
      </c>
    </row>
    <row r="432" spans="1:10" x14ac:dyDescent="0.2">
      <c r="A432" s="297">
        <v>423</v>
      </c>
      <c r="B432" s="297">
        <v>313</v>
      </c>
      <c r="C432" s="298">
        <v>0.75</v>
      </c>
      <c r="D432" s="298">
        <v>0.79500000000000004</v>
      </c>
      <c r="E432" s="298">
        <v>0.81</v>
      </c>
      <c r="F432" s="298">
        <v>0.82499999999999996</v>
      </c>
      <c r="G432" s="299">
        <f t="shared" si="33"/>
        <v>3466.44</v>
      </c>
      <c r="H432" s="299">
        <f t="shared" si="34"/>
        <v>3674.4263999999998</v>
      </c>
      <c r="I432" s="299">
        <f t="shared" si="35"/>
        <v>3743.7552000000005</v>
      </c>
      <c r="J432" s="299">
        <f t="shared" si="36"/>
        <v>3813.0839999999998</v>
      </c>
    </row>
    <row r="433" spans="1:10" x14ac:dyDescent="0.2">
      <c r="A433" s="297">
        <v>424</v>
      </c>
      <c r="B433" s="297">
        <v>314</v>
      </c>
      <c r="C433" s="298">
        <v>0.75</v>
      </c>
      <c r="D433" s="298">
        <v>0.79500000000000004</v>
      </c>
      <c r="E433" s="298">
        <v>0.81</v>
      </c>
      <c r="F433" s="298">
        <v>0.82499999999999996</v>
      </c>
      <c r="G433" s="299">
        <f t="shared" si="33"/>
        <v>3475.44</v>
      </c>
      <c r="H433" s="299">
        <f t="shared" si="34"/>
        <v>3683.9664000000002</v>
      </c>
      <c r="I433" s="299">
        <f t="shared" si="35"/>
        <v>3753.4751999999999</v>
      </c>
      <c r="J433" s="299">
        <f t="shared" si="36"/>
        <v>3822.9840000000004</v>
      </c>
    </row>
    <row r="434" spans="1:10" x14ac:dyDescent="0.2">
      <c r="A434" s="297">
        <v>425</v>
      </c>
      <c r="B434" s="297">
        <v>315</v>
      </c>
      <c r="C434" s="298">
        <v>0.75</v>
      </c>
      <c r="D434" s="298">
        <v>0.79500000000000004</v>
      </c>
      <c r="E434" s="298">
        <v>0.81</v>
      </c>
      <c r="F434" s="298">
        <v>0.82499999999999996</v>
      </c>
      <c r="G434" s="299">
        <f t="shared" si="33"/>
        <v>3484.44</v>
      </c>
      <c r="H434" s="299">
        <f t="shared" si="34"/>
        <v>3693.5064000000002</v>
      </c>
      <c r="I434" s="299">
        <f t="shared" si="35"/>
        <v>3763.1952000000001</v>
      </c>
      <c r="J434" s="299">
        <f t="shared" si="36"/>
        <v>3832.884</v>
      </c>
    </row>
    <row r="435" spans="1:10" x14ac:dyDescent="0.2">
      <c r="A435" s="297">
        <v>426</v>
      </c>
      <c r="B435" s="297">
        <v>316</v>
      </c>
      <c r="C435" s="298">
        <v>0.75</v>
      </c>
      <c r="D435" s="298">
        <v>0.79500000000000004</v>
      </c>
      <c r="E435" s="298">
        <v>0.81</v>
      </c>
      <c r="F435" s="298">
        <v>0.82499999999999996</v>
      </c>
      <c r="G435" s="299">
        <f t="shared" si="33"/>
        <v>3493.44</v>
      </c>
      <c r="H435" s="299">
        <f t="shared" si="34"/>
        <v>3703.0463999999997</v>
      </c>
      <c r="I435" s="299">
        <f t="shared" si="35"/>
        <v>3772.9151999999999</v>
      </c>
      <c r="J435" s="299">
        <f t="shared" si="36"/>
        <v>3842.7839999999997</v>
      </c>
    </row>
    <row r="436" spans="1:10" x14ac:dyDescent="0.2">
      <c r="A436" s="297">
        <v>427</v>
      </c>
      <c r="B436" s="297">
        <v>317</v>
      </c>
      <c r="C436" s="298">
        <v>0.75</v>
      </c>
      <c r="D436" s="298">
        <v>0.79500000000000004</v>
      </c>
      <c r="E436" s="298">
        <v>0.81</v>
      </c>
      <c r="F436" s="298">
        <v>0.82499999999999996</v>
      </c>
      <c r="G436" s="299">
        <f t="shared" si="33"/>
        <v>3502.44</v>
      </c>
      <c r="H436" s="299">
        <f t="shared" si="34"/>
        <v>3712.5864000000001</v>
      </c>
      <c r="I436" s="299">
        <f t="shared" si="35"/>
        <v>3782.6352000000006</v>
      </c>
      <c r="J436" s="299">
        <f t="shared" si="36"/>
        <v>3852.6839999999997</v>
      </c>
    </row>
    <row r="437" spans="1:10" x14ac:dyDescent="0.2">
      <c r="A437" s="297">
        <v>428</v>
      </c>
      <c r="B437" s="297">
        <v>318</v>
      </c>
      <c r="C437" s="298">
        <v>0.75</v>
      </c>
      <c r="D437" s="298">
        <v>0.79500000000000004</v>
      </c>
      <c r="E437" s="298">
        <v>0.81</v>
      </c>
      <c r="F437" s="298">
        <v>0.82499999999999996</v>
      </c>
      <c r="G437" s="299">
        <f t="shared" si="33"/>
        <v>3511.44</v>
      </c>
      <c r="H437" s="299">
        <f t="shared" si="34"/>
        <v>3722.1264000000001</v>
      </c>
      <c r="I437" s="299">
        <f t="shared" si="35"/>
        <v>3792.3552000000004</v>
      </c>
      <c r="J437" s="299">
        <f t="shared" si="36"/>
        <v>3862.5839999999998</v>
      </c>
    </row>
    <row r="438" spans="1:10" x14ac:dyDescent="0.2">
      <c r="A438" s="297">
        <v>429</v>
      </c>
      <c r="B438" s="297">
        <v>319</v>
      </c>
      <c r="C438" s="298">
        <v>0.75</v>
      </c>
      <c r="D438" s="298">
        <v>0.79500000000000004</v>
      </c>
      <c r="E438" s="298">
        <v>0.81</v>
      </c>
      <c r="F438" s="298">
        <v>0.82499999999999996</v>
      </c>
      <c r="G438" s="299">
        <f t="shared" si="33"/>
        <v>3520.44</v>
      </c>
      <c r="H438" s="299">
        <f t="shared" si="34"/>
        <v>3731.6664000000001</v>
      </c>
      <c r="I438" s="299">
        <f t="shared" si="35"/>
        <v>3802.0752000000002</v>
      </c>
      <c r="J438" s="299">
        <f t="shared" si="36"/>
        <v>3872.4840000000004</v>
      </c>
    </row>
    <row r="439" spans="1:10" x14ac:dyDescent="0.2">
      <c r="A439" s="297">
        <v>430</v>
      </c>
      <c r="B439" s="297">
        <v>320</v>
      </c>
      <c r="C439" s="298">
        <v>0.75</v>
      </c>
      <c r="D439" s="298">
        <v>0.79500000000000004</v>
      </c>
      <c r="E439" s="298">
        <v>0.81</v>
      </c>
      <c r="F439" s="298">
        <v>0.82499999999999996</v>
      </c>
      <c r="G439" s="299">
        <f t="shared" si="33"/>
        <v>3529.44</v>
      </c>
      <c r="H439" s="299">
        <f t="shared" si="34"/>
        <v>3741.2064</v>
      </c>
      <c r="I439" s="299">
        <f t="shared" si="35"/>
        <v>3811.7952000000005</v>
      </c>
      <c r="J439" s="299">
        <f t="shared" si="36"/>
        <v>3882.384</v>
      </c>
    </row>
    <row r="440" spans="1:10" x14ac:dyDescent="0.2">
      <c r="A440" s="297">
        <v>431</v>
      </c>
      <c r="B440" s="297">
        <v>321</v>
      </c>
      <c r="C440" s="298">
        <v>0.75</v>
      </c>
      <c r="D440" s="298">
        <v>0.79500000000000004</v>
      </c>
      <c r="E440" s="298">
        <v>0.81</v>
      </c>
      <c r="F440" s="298">
        <v>0.82499999999999996</v>
      </c>
      <c r="G440" s="299">
        <f t="shared" si="33"/>
        <v>3538.44</v>
      </c>
      <c r="H440" s="299">
        <f t="shared" si="34"/>
        <v>3750.7464</v>
      </c>
      <c r="I440" s="299">
        <f t="shared" si="35"/>
        <v>3821.5151999999998</v>
      </c>
      <c r="J440" s="299">
        <f t="shared" si="36"/>
        <v>3892.2839999999997</v>
      </c>
    </row>
    <row r="441" spans="1:10" x14ac:dyDescent="0.2">
      <c r="A441" s="297">
        <v>432</v>
      </c>
      <c r="B441" s="297">
        <v>322</v>
      </c>
      <c r="C441" s="298">
        <v>0.75</v>
      </c>
      <c r="D441" s="298">
        <v>0.79500000000000004</v>
      </c>
      <c r="E441" s="298">
        <v>0.81</v>
      </c>
      <c r="F441" s="298">
        <v>0.82499999999999996</v>
      </c>
      <c r="G441" s="299">
        <f t="shared" ref="G441:G504" si="37">G$119+$B441*C441*12</f>
        <v>3547.44</v>
      </c>
      <c r="H441" s="299">
        <f t="shared" si="34"/>
        <v>3760.2864</v>
      </c>
      <c r="I441" s="299">
        <f t="shared" si="35"/>
        <v>3831.2352000000001</v>
      </c>
      <c r="J441" s="299">
        <f t="shared" si="36"/>
        <v>3902.1839999999997</v>
      </c>
    </row>
    <row r="442" spans="1:10" x14ac:dyDescent="0.2">
      <c r="A442" s="297">
        <v>433</v>
      </c>
      <c r="B442" s="297">
        <v>323</v>
      </c>
      <c r="C442" s="298">
        <v>0.75</v>
      </c>
      <c r="D442" s="298">
        <v>0.79500000000000004</v>
      </c>
      <c r="E442" s="298">
        <v>0.81</v>
      </c>
      <c r="F442" s="298">
        <v>0.82499999999999996</v>
      </c>
      <c r="G442" s="299">
        <f t="shared" si="37"/>
        <v>3556.44</v>
      </c>
      <c r="H442" s="299">
        <f t="shared" si="34"/>
        <v>3769.8263999999999</v>
      </c>
      <c r="I442" s="299">
        <f t="shared" si="35"/>
        <v>3840.9551999999999</v>
      </c>
      <c r="J442" s="299">
        <f t="shared" si="36"/>
        <v>3912.0839999999998</v>
      </c>
    </row>
    <row r="443" spans="1:10" x14ac:dyDescent="0.2">
      <c r="A443" s="297">
        <v>434</v>
      </c>
      <c r="B443" s="297">
        <v>324</v>
      </c>
      <c r="C443" s="298">
        <v>0.75</v>
      </c>
      <c r="D443" s="298">
        <v>0.79500000000000004</v>
      </c>
      <c r="E443" s="298">
        <v>0.81</v>
      </c>
      <c r="F443" s="298">
        <v>0.82499999999999996</v>
      </c>
      <c r="G443" s="299">
        <f t="shared" si="37"/>
        <v>3565.44</v>
      </c>
      <c r="H443" s="299">
        <f t="shared" si="34"/>
        <v>3779.3664000000003</v>
      </c>
      <c r="I443" s="299">
        <f t="shared" si="35"/>
        <v>3850.6751999999997</v>
      </c>
      <c r="J443" s="299">
        <f t="shared" si="36"/>
        <v>3921.9840000000004</v>
      </c>
    </row>
    <row r="444" spans="1:10" x14ac:dyDescent="0.2">
      <c r="A444" s="297">
        <v>435</v>
      </c>
      <c r="B444" s="297">
        <v>325</v>
      </c>
      <c r="C444" s="298">
        <v>0.75</v>
      </c>
      <c r="D444" s="298">
        <v>0.79500000000000004</v>
      </c>
      <c r="E444" s="298">
        <v>0.81</v>
      </c>
      <c r="F444" s="298">
        <v>0.82499999999999996</v>
      </c>
      <c r="G444" s="299">
        <f t="shared" si="37"/>
        <v>3574.44</v>
      </c>
      <c r="H444" s="299">
        <f t="shared" si="34"/>
        <v>3788.9063999999998</v>
      </c>
      <c r="I444" s="299">
        <f t="shared" si="35"/>
        <v>3860.3951999999999</v>
      </c>
      <c r="J444" s="299">
        <f t="shared" si="36"/>
        <v>3931.884</v>
      </c>
    </row>
    <row r="445" spans="1:10" x14ac:dyDescent="0.2">
      <c r="A445" s="297">
        <v>436</v>
      </c>
      <c r="B445" s="297">
        <v>326</v>
      </c>
      <c r="C445" s="298">
        <v>0.75</v>
      </c>
      <c r="D445" s="298">
        <v>0.79500000000000004</v>
      </c>
      <c r="E445" s="298">
        <v>0.81</v>
      </c>
      <c r="F445" s="298">
        <v>0.82499999999999996</v>
      </c>
      <c r="G445" s="299">
        <f t="shared" si="37"/>
        <v>3583.44</v>
      </c>
      <c r="H445" s="299">
        <f t="shared" si="34"/>
        <v>3798.4463999999998</v>
      </c>
      <c r="I445" s="299">
        <f t="shared" si="35"/>
        <v>3870.1152000000002</v>
      </c>
      <c r="J445" s="299">
        <f t="shared" si="36"/>
        <v>3941.7839999999997</v>
      </c>
    </row>
    <row r="446" spans="1:10" x14ac:dyDescent="0.2">
      <c r="A446" s="297">
        <v>437</v>
      </c>
      <c r="B446" s="297">
        <v>327</v>
      </c>
      <c r="C446" s="298">
        <v>0.75</v>
      </c>
      <c r="D446" s="298">
        <v>0.79500000000000004</v>
      </c>
      <c r="E446" s="298">
        <v>0.81</v>
      </c>
      <c r="F446" s="298">
        <v>0.82499999999999996</v>
      </c>
      <c r="G446" s="299">
        <f t="shared" si="37"/>
        <v>3592.44</v>
      </c>
      <c r="H446" s="299">
        <f t="shared" si="34"/>
        <v>3807.9864000000002</v>
      </c>
      <c r="I446" s="299">
        <f t="shared" si="35"/>
        <v>3879.8352</v>
      </c>
      <c r="J446" s="299">
        <f t="shared" si="36"/>
        <v>3951.6839999999997</v>
      </c>
    </row>
    <row r="447" spans="1:10" x14ac:dyDescent="0.2">
      <c r="A447" s="297">
        <v>438</v>
      </c>
      <c r="B447" s="297">
        <v>328</v>
      </c>
      <c r="C447" s="298">
        <v>0.75</v>
      </c>
      <c r="D447" s="298">
        <v>0.79500000000000004</v>
      </c>
      <c r="E447" s="298">
        <v>0.81</v>
      </c>
      <c r="F447" s="298">
        <v>0.82499999999999996</v>
      </c>
      <c r="G447" s="299">
        <f t="shared" si="37"/>
        <v>3601.44</v>
      </c>
      <c r="H447" s="299">
        <f t="shared" si="34"/>
        <v>3817.5263999999997</v>
      </c>
      <c r="I447" s="299">
        <f t="shared" si="35"/>
        <v>3889.5551999999998</v>
      </c>
      <c r="J447" s="299">
        <f t="shared" si="36"/>
        <v>3961.5839999999998</v>
      </c>
    </row>
    <row r="448" spans="1:10" x14ac:dyDescent="0.2">
      <c r="A448" s="297">
        <v>439</v>
      </c>
      <c r="B448" s="297">
        <v>329</v>
      </c>
      <c r="C448" s="298">
        <v>0.75</v>
      </c>
      <c r="D448" s="298">
        <v>0.79500000000000004</v>
      </c>
      <c r="E448" s="298">
        <v>0.81</v>
      </c>
      <c r="F448" s="298">
        <v>0.82499999999999996</v>
      </c>
      <c r="G448" s="299">
        <f t="shared" si="37"/>
        <v>3610.44</v>
      </c>
      <c r="H448" s="299">
        <f t="shared" si="34"/>
        <v>3827.0663999999997</v>
      </c>
      <c r="I448" s="299">
        <f t="shared" si="35"/>
        <v>3899.2752</v>
      </c>
      <c r="J448" s="299">
        <f t="shared" si="36"/>
        <v>3971.4840000000004</v>
      </c>
    </row>
    <row r="449" spans="1:10" x14ac:dyDescent="0.2">
      <c r="A449" s="297">
        <v>440</v>
      </c>
      <c r="B449" s="297">
        <v>330</v>
      </c>
      <c r="C449" s="298">
        <v>0.75</v>
      </c>
      <c r="D449" s="298">
        <v>0.79500000000000004</v>
      </c>
      <c r="E449" s="298">
        <v>0.81</v>
      </c>
      <c r="F449" s="298">
        <v>0.82499999999999996</v>
      </c>
      <c r="G449" s="299">
        <f t="shared" si="37"/>
        <v>3619.44</v>
      </c>
      <c r="H449" s="299">
        <f t="shared" si="34"/>
        <v>3836.6064000000001</v>
      </c>
      <c r="I449" s="299">
        <f t="shared" si="35"/>
        <v>3908.9952000000003</v>
      </c>
      <c r="J449" s="299">
        <f t="shared" si="36"/>
        <v>3981.384</v>
      </c>
    </row>
    <row r="450" spans="1:10" x14ac:dyDescent="0.2">
      <c r="A450" s="297">
        <v>441</v>
      </c>
      <c r="B450" s="297">
        <v>331</v>
      </c>
      <c r="C450" s="298">
        <v>0.75</v>
      </c>
      <c r="D450" s="298">
        <v>0.79500000000000004</v>
      </c>
      <c r="E450" s="298">
        <v>0.81</v>
      </c>
      <c r="F450" s="298">
        <v>0.82499999999999996</v>
      </c>
      <c r="G450" s="299">
        <f t="shared" si="37"/>
        <v>3628.44</v>
      </c>
      <c r="H450" s="299">
        <f t="shared" si="34"/>
        <v>3846.1464000000005</v>
      </c>
      <c r="I450" s="299">
        <f t="shared" si="35"/>
        <v>3918.7152000000001</v>
      </c>
      <c r="J450" s="299">
        <f t="shared" si="36"/>
        <v>3991.2839999999997</v>
      </c>
    </row>
    <row r="451" spans="1:10" x14ac:dyDescent="0.2">
      <c r="A451" s="297">
        <v>442</v>
      </c>
      <c r="B451" s="297">
        <v>332</v>
      </c>
      <c r="C451" s="298">
        <v>0.75</v>
      </c>
      <c r="D451" s="298">
        <v>0.79500000000000004</v>
      </c>
      <c r="E451" s="298">
        <v>0.81</v>
      </c>
      <c r="F451" s="298">
        <v>0.82499999999999996</v>
      </c>
      <c r="G451" s="299">
        <f t="shared" si="37"/>
        <v>3637.44</v>
      </c>
      <c r="H451" s="299">
        <f t="shared" si="34"/>
        <v>3855.6863999999996</v>
      </c>
      <c r="I451" s="299">
        <f t="shared" si="35"/>
        <v>3928.4351999999999</v>
      </c>
      <c r="J451" s="299">
        <f t="shared" si="36"/>
        <v>4001.1839999999997</v>
      </c>
    </row>
    <row r="452" spans="1:10" x14ac:dyDescent="0.2">
      <c r="A452" s="297">
        <v>443</v>
      </c>
      <c r="B452" s="297">
        <v>333</v>
      </c>
      <c r="C452" s="298">
        <v>0.75</v>
      </c>
      <c r="D452" s="298">
        <v>0.79500000000000004</v>
      </c>
      <c r="E452" s="298">
        <v>0.81</v>
      </c>
      <c r="F452" s="298">
        <v>0.82499999999999996</v>
      </c>
      <c r="G452" s="299">
        <f t="shared" si="37"/>
        <v>3646.44</v>
      </c>
      <c r="H452" s="299">
        <f t="shared" si="34"/>
        <v>3865.2264</v>
      </c>
      <c r="I452" s="299">
        <f t="shared" si="35"/>
        <v>3938.1552000000001</v>
      </c>
      <c r="J452" s="299">
        <f t="shared" si="36"/>
        <v>4011.0839999999998</v>
      </c>
    </row>
    <row r="453" spans="1:10" x14ac:dyDescent="0.2">
      <c r="A453" s="297">
        <v>444</v>
      </c>
      <c r="B453" s="297">
        <v>334</v>
      </c>
      <c r="C453" s="298">
        <v>0.75</v>
      </c>
      <c r="D453" s="298">
        <v>0.79500000000000004</v>
      </c>
      <c r="E453" s="298">
        <v>0.81</v>
      </c>
      <c r="F453" s="298">
        <v>0.82499999999999996</v>
      </c>
      <c r="G453" s="299">
        <f t="shared" si="37"/>
        <v>3655.44</v>
      </c>
      <c r="H453" s="299">
        <f t="shared" si="34"/>
        <v>3874.7664000000004</v>
      </c>
      <c r="I453" s="299">
        <f t="shared" si="35"/>
        <v>3947.8752000000004</v>
      </c>
      <c r="J453" s="299">
        <f t="shared" si="36"/>
        <v>4020.9840000000004</v>
      </c>
    </row>
    <row r="454" spans="1:10" x14ac:dyDescent="0.2">
      <c r="A454" s="297">
        <v>445</v>
      </c>
      <c r="B454" s="297">
        <v>335</v>
      </c>
      <c r="C454" s="298">
        <v>0.75</v>
      </c>
      <c r="D454" s="298">
        <v>0.79500000000000004</v>
      </c>
      <c r="E454" s="298">
        <v>0.81</v>
      </c>
      <c r="F454" s="298">
        <v>0.82499999999999996</v>
      </c>
      <c r="G454" s="299">
        <f t="shared" si="37"/>
        <v>3664.44</v>
      </c>
      <c r="H454" s="299">
        <f t="shared" si="34"/>
        <v>3884.3063999999995</v>
      </c>
      <c r="I454" s="299">
        <f t="shared" si="35"/>
        <v>3957.5952000000002</v>
      </c>
      <c r="J454" s="299">
        <f t="shared" si="36"/>
        <v>4030.884</v>
      </c>
    </row>
    <row r="455" spans="1:10" x14ac:dyDescent="0.2">
      <c r="A455" s="297">
        <v>446</v>
      </c>
      <c r="B455" s="297">
        <v>336</v>
      </c>
      <c r="C455" s="298">
        <v>0.75</v>
      </c>
      <c r="D455" s="298">
        <v>0.79500000000000004</v>
      </c>
      <c r="E455" s="298">
        <v>0.81</v>
      </c>
      <c r="F455" s="298">
        <v>0.82499999999999996</v>
      </c>
      <c r="G455" s="299">
        <f t="shared" si="37"/>
        <v>3673.44</v>
      </c>
      <c r="H455" s="299">
        <f t="shared" si="34"/>
        <v>3893.8463999999999</v>
      </c>
      <c r="I455" s="299">
        <f t="shared" si="35"/>
        <v>3967.3152</v>
      </c>
      <c r="J455" s="299">
        <f t="shared" si="36"/>
        <v>4040.7839999999997</v>
      </c>
    </row>
    <row r="456" spans="1:10" x14ac:dyDescent="0.2">
      <c r="A456" s="297">
        <v>447</v>
      </c>
      <c r="B456" s="297">
        <v>337</v>
      </c>
      <c r="C456" s="298">
        <v>0.75</v>
      </c>
      <c r="D456" s="298">
        <v>0.79500000000000004</v>
      </c>
      <c r="E456" s="298">
        <v>0.81</v>
      </c>
      <c r="F456" s="298">
        <v>0.82499999999999996</v>
      </c>
      <c r="G456" s="299">
        <f t="shared" si="37"/>
        <v>3682.44</v>
      </c>
      <c r="H456" s="299">
        <f t="shared" ref="H456:H509" si="38">H$119+$B456*D456*12</f>
        <v>3903.3864000000003</v>
      </c>
      <c r="I456" s="299">
        <f t="shared" ref="I456:I509" si="39">I$119+$B456*E456*12</f>
        <v>3977.0352000000003</v>
      </c>
      <c r="J456" s="299">
        <f t="shared" ref="J456:J509" si="40">J$119+$B456*F456*12</f>
        <v>4050.6839999999997</v>
      </c>
    </row>
    <row r="457" spans="1:10" x14ac:dyDescent="0.2">
      <c r="A457" s="297">
        <v>448</v>
      </c>
      <c r="B457" s="297">
        <v>338</v>
      </c>
      <c r="C457" s="298">
        <v>0.75</v>
      </c>
      <c r="D457" s="298">
        <v>0.79500000000000004</v>
      </c>
      <c r="E457" s="298">
        <v>0.81</v>
      </c>
      <c r="F457" s="298">
        <v>0.82499999999999996</v>
      </c>
      <c r="G457" s="299">
        <f t="shared" si="37"/>
        <v>3691.44</v>
      </c>
      <c r="H457" s="299">
        <f t="shared" si="38"/>
        <v>3912.9264000000003</v>
      </c>
      <c r="I457" s="299">
        <f t="shared" si="39"/>
        <v>3986.7552000000005</v>
      </c>
      <c r="J457" s="299">
        <f t="shared" si="40"/>
        <v>4060.5839999999998</v>
      </c>
    </row>
    <row r="458" spans="1:10" x14ac:dyDescent="0.2">
      <c r="A458" s="297">
        <v>449</v>
      </c>
      <c r="B458" s="297">
        <v>339</v>
      </c>
      <c r="C458" s="298">
        <v>0.75</v>
      </c>
      <c r="D458" s="298">
        <v>0.79500000000000004</v>
      </c>
      <c r="E458" s="298">
        <v>0.81</v>
      </c>
      <c r="F458" s="298">
        <v>0.82499999999999996</v>
      </c>
      <c r="G458" s="299">
        <f t="shared" si="37"/>
        <v>3700.44</v>
      </c>
      <c r="H458" s="299">
        <f t="shared" si="38"/>
        <v>3922.4663999999998</v>
      </c>
      <c r="I458" s="299">
        <f t="shared" si="39"/>
        <v>3996.4752000000003</v>
      </c>
      <c r="J458" s="299">
        <f t="shared" si="40"/>
        <v>4070.4840000000004</v>
      </c>
    </row>
    <row r="459" spans="1:10" x14ac:dyDescent="0.2">
      <c r="A459" s="297">
        <v>450</v>
      </c>
      <c r="B459" s="297">
        <v>340</v>
      </c>
      <c r="C459" s="298">
        <v>0.75</v>
      </c>
      <c r="D459" s="298">
        <v>0.79500000000000004</v>
      </c>
      <c r="E459" s="298">
        <v>0.81</v>
      </c>
      <c r="F459" s="298">
        <v>0.82499999999999996</v>
      </c>
      <c r="G459" s="299">
        <f t="shared" si="37"/>
        <v>3709.44</v>
      </c>
      <c r="H459" s="299">
        <f t="shared" si="38"/>
        <v>3932.0064000000002</v>
      </c>
      <c r="I459" s="299">
        <f t="shared" si="39"/>
        <v>4006.1952000000001</v>
      </c>
      <c r="J459" s="299">
        <f t="shared" si="40"/>
        <v>4080.384</v>
      </c>
    </row>
    <row r="460" spans="1:10" x14ac:dyDescent="0.2">
      <c r="A460" s="297">
        <v>451</v>
      </c>
      <c r="B460" s="297">
        <v>341</v>
      </c>
      <c r="C460" s="298">
        <v>0.75</v>
      </c>
      <c r="D460" s="298">
        <v>0.79500000000000004</v>
      </c>
      <c r="E460" s="298">
        <v>0.81</v>
      </c>
      <c r="F460" s="298">
        <v>0.82499999999999996</v>
      </c>
      <c r="G460" s="299">
        <f t="shared" si="37"/>
        <v>3718.44</v>
      </c>
      <c r="H460" s="299">
        <f t="shared" si="38"/>
        <v>3941.5464000000002</v>
      </c>
      <c r="I460" s="299">
        <f t="shared" si="39"/>
        <v>4015.9152000000004</v>
      </c>
      <c r="J460" s="299">
        <f t="shared" si="40"/>
        <v>4090.2839999999997</v>
      </c>
    </row>
    <row r="461" spans="1:10" x14ac:dyDescent="0.2">
      <c r="A461" s="297">
        <v>452</v>
      </c>
      <c r="B461" s="297">
        <v>342</v>
      </c>
      <c r="C461" s="298">
        <v>0.75</v>
      </c>
      <c r="D461" s="298">
        <v>0.79500000000000004</v>
      </c>
      <c r="E461" s="298">
        <v>0.81</v>
      </c>
      <c r="F461" s="298">
        <v>0.82499999999999996</v>
      </c>
      <c r="G461" s="299">
        <f t="shared" si="37"/>
        <v>3727.44</v>
      </c>
      <c r="H461" s="299">
        <f t="shared" si="38"/>
        <v>3951.0863999999997</v>
      </c>
      <c r="I461" s="299">
        <f t="shared" si="39"/>
        <v>4025.6352000000006</v>
      </c>
      <c r="J461" s="299">
        <f t="shared" si="40"/>
        <v>4100.1839999999993</v>
      </c>
    </row>
    <row r="462" spans="1:10" x14ac:dyDescent="0.2">
      <c r="A462" s="297">
        <v>453</v>
      </c>
      <c r="B462" s="297">
        <v>343</v>
      </c>
      <c r="C462" s="298">
        <v>0.75</v>
      </c>
      <c r="D462" s="298">
        <v>0.79500000000000004</v>
      </c>
      <c r="E462" s="298">
        <v>0.81</v>
      </c>
      <c r="F462" s="298">
        <v>0.82499999999999996</v>
      </c>
      <c r="G462" s="299">
        <f t="shared" si="37"/>
        <v>3736.44</v>
      </c>
      <c r="H462" s="299">
        <f t="shared" si="38"/>
        <v>3960.6264000000001</v>
      </c>
      <c r="I462" s="299">
        <f t="shared" si="39"/>
        <v>4035.3552000000004</v>
      </c>
      <c r="J462" s="299">
        <f t="shared" si="40"/>
        <v>4110.0839999999998</v>
      </c>
    </row>
    <row r="463" spans="1:10" x14ac:dyDescent="0.2">
      <c r="A463" s="297">
        <v>454</v>
      </c>
      <c r="B463" s="297">
        <v>344</v>
      </c>
      <c r="C463" s="298">
        <v>0.75</v>
      </c>
      <c r="D463" s="298">
        <v>0.79500000000000004</v>
      </c>
      <c r="E463" s="298">
        <v>0.81</v>
      </c>
      <c r="F463" s="298">
        <v>0.82499999999999996</v>
      </c>
      <c r="G463" s="299">
        <f t="shared" si="37"/>
        <v>3745.44</v>
      </c>
      <c r="H463" s="299">
        <f t="shared" si="38"/>
        <v>3970.1664000000001</v>
      </c>
      <c r="I463" s="299">
        <f t="shared" si="39"/>
        <v>4045.0752000000002</v>
      </c>
      <c r="J463" s="299">
        <f t="shared" si="40"/>
        <v>4119.9840000000004</v>
      </c>
    </row>
    <row r="464" spans="1:10" x14ac:dyDescent="0.2">
      <c r="A464" s="297">
        <v>455</v>
      </c>
      <c r="B464" s="297">
        <v>345</v>
      </c>
      <c r="C464" s="298">
        <v>0.75</v>
      </c>
      <c r="D464" s="298">
        <v>0.79500000000000004</v>
      </c>
      <c r="E464" s="298">
        <v>0.81</v>
      </c>
      <c r="F464" s="298">
        <v>0.82499999999999996</v>
      </c>
      <c r="G464" s="299">
        <f t="shared" si="37"/>
        <v>3754.44</v>
      </c>
      <c r="H464" s="299">
        <f t="shared" si="38"/>
        <v>3979.7064</v>
      </c>
      <c r="I464" s="299">
        <f t="shared" si="39"/>
        <v>4054.7952000000005</v>
      </c>
      <c r="J464" s="299">
        <f t="shared" si="40"/>
        <v>4129.884</v>
      </c>
    </row>
    <row r="465" spans="1:10" x14ac:dyDescent="0.2">
      <c r="A465" s="297">
        <v>456</v>
      </c>
      <c r="B465" s="297">
        <v>346</v>
      </c>
      <c r="C465" s="298">
        <v>0.75</v>
      </c>
      <c r="D465" s="298">
        <v>0.79500000000000004</v>
      </c>
      <c r="E465" s="298">
        <v>0.81</v>
      </c>
      <c r="F465" s="298">
        <v>0.82499999999999996</v>
      </c>
      <c r="G465" s="299">
        <f t="shared" si="37"/>
        <v>3763.44</v>
      </c>
      <c r="H465" s="299">
        <f t="shared" si="38"/>
        <v>3989.2464</v>
      </c>
      <c r="I465" s="299">
        <f t="shared" si="39"/>
        <v>4064.5151999999998</v>
      </c>
      <c r="J465" s="299">
        <f t="shared" si="40"/>
        <v>4139.7839999999997</v>
      </c>
    </row>
    <row r="466" spans="1:10" x14ac:dyDescent="0.2">
      <c r="A466" s="297">
        <v>457</v>
      </c>
      <c r="B466" s="297">
        <v>347</v>
      </c>
      <c r="C466" s="298">
        <v>0.75</v>
      </c>
      <c r="D466" s="298">
        <v>0.79500000000000004</v>
      </c>
      <c r="E466" s="298">
        <v>0.81</v>
      </c>
      <c r="F466" s="298">
        <v>0.82499999999999996</v>
      </c>
      <c r="G466" s="299">
        <f t="shared" si="37"/>
        <v>3772.44</v>
      </c>
      <c r="H466" s="299">
        <f t="shared" si="38"/>
        <v>3998.7864</v>
      </c>
      <c r="I466" s="299">
        <f t="shared" si="39"/>
        <v>4074.2352000000001</v>
      </c>
      <c r="J466" s="299">
        <f t="shared" si="40"/>
        <v>4149.6839999999993</v>
      </c>
    </row>
    <row r="467" spans="1:10" x14ac:dyDescent="0.2">
      <c r="A467" s="297">
        <v>458</v>
      </c>
      <c r="B467" s="297">
        <v>348</v>
      </c>
      <c r="C467" s="298">
        <v>0.75</v>
      </c>
      <c r="D467" s="298">
        <v>0.79500000000000004</v>
      </c>
      <c r="E467" s="298">
        <v>0.81</v>
      </c>
      <c r="F467" s="298">
        <v>0.82499999999999996</v>
      </c>
      <c r="G467" s="299">
        <f t="shared" si="37"/>
        <v>3781.44</v>
      </c>
      <c r="H467" s="299">
        <f t="shared" si="38"/>
        <v>4008.3263999999999</v>
      </c>
      <c r="I467" s="299">
        <f t="shared" si="39"/>
        <v>4083.9551999999999</v>
      </c>
      <c r="J467" s="299">
        <f t="shared" si="40"/>
        <v>4159.5839999999998</v>
      </c>
    </row>
    <row r="468" spans="1:10" x14ac:dyDescent="0.2">
      <c r="A468" s="297">
        <v>459</v>
      </c>
      <c r="B468" s="297">
        <v>349</v>
      </c>
      <c r="C468" s="298">
        <v>0.75</v>
      </c>
      <c r="D468" s="298">
        <v>0.79500000000000004</v>
      </c>
      <c r="E468" s="298">
        <v>0.81</v>
      </c>
      <c r="F468" s="298">
        <v>0.82499999999999996</v>
      </c>
      <c r="G468" s="299">
        <f t="shared" si="37"/>
        <v>3790.44</v>
      </c>
      <c r="H468" s="299">
        <f t="shared" si="38"/>
        <v>4017.8664000000003</v>
      </c>
      <c r="I468" s="299">
        <f t="shared" si="39"/>
        <v>4093.6751999999997</v>
      </c>
      <c r="J468" s="299">
        <f t="shared" si="40"/>
        <v>4169.4840000000004</v>
      </c>
    </row>
    <row r="469" spans="1:10" x14ac:dyDescent="0.2">
      <c r="A469" s="297">
        <v>460</v>
      </c>
      <c r="B469" s="297">
        <v>350</v>
      </c>
      <c r="C469" s="298">
        <v>0.75</v>
      </c>
      <c r="D469" s="298">
        <v>0.79500000000000004</v>
      </c>
      <c r="E469" s="298">
        <v>0.81</v>
      </c>
      <c r="F469" s="298">
        <v>0.82499999999999996</v>
      </c>
      <c r="G469" s="299">
        <f t="shared" si="37"/>
        <v>3799.44</v>
      </c>
      <c r="H469" s="299">
        <f t="shared" si="38"/>
        <v>4027.4063999999998</v>
      </c>
      <c r="I469" s="299">
        <f t="shared" si="39"/>
        <v>4103.3951999999999</v>
      </c>
      <c r="J469" s="299">
        <f t="shared" si="40"/>
        <v>4179.384</v>
      </c>
    </row>
    <row r="470" spans="1:10" x14ac:dyDescent="0.2">
      <c r="A470" s="297">
        <v>461</v>
      </c>
      <c r="B470" s="297">
        <v>351</v>
      </c>
      <c r="C470" s="298">
        <v>0.75</v>
      </c>
      <c r="D470" s="298">
        <v>0.79500000000000004</v>
      </c>
      <c r="E470" s="298">
        <v>0.81</v>
      </c>
      <c r="F470" s="298">
        <v>0.82499999999999996</v>
      </c>
      <c r="G470" s="299">
        <f t="shared" si="37"/>
        <v>3808.44</v>
      </c>
      <c r="H470" s="299">
        <f t="shared" si="38"/>
        <v>4036.9463999999998</v>
      </c>
      <c r="I470" s="299">
        <f t="shared" si="39"/>
        <v>4113.1152000000002</v>
      </c>
      <c r="J470" s="299">
        <f t="shared" si="40"/>
        <v>4189.2839999999997</v>
      </c>
    </row>
    <row r="471" spans="1:10" x14ac:dyDescent="0.2">
      <c r="A471" s="297">
        <v>462</v>
      </c>
      <c r="B471" s="297">
        <v>352</v>
      </c>
      <c r="C471" s="298">
        <v>0.75</v>
      </c>
      <c r="D471" s="298">
        <v>0.79500000000000004</v>
      </c>
      <c r="E471" s="298">
        <v>0.81</v>
      </c>
      <c r="F471" s="298">
        <v>0.82499999999999996</v>
      </c>
      <c r="G471" s="299">
        <f t="shared" si="37"/>
        <v>3817.44</v>
      </c>
      <c r="H471" s="299">
        <f t="shared" si="38"/>
        <v>4046.4864000000002</v>
      </c>
      <c r="I471" s="299">
        <f t="shared" si="39"/>
        <v>4122.8351999999995</v>
      </c>
      <c r="J471" s="299">
        <f t="shared" si="40"/>
        <v>4199.1839999999993</v>
      </c>
    </row>
    <row r="472" spans="1:10" x14ac:dyDescent="0.2">
      <c r="A472" s="297">
        <v>463</v>
      </c>
      <c r="B472" s="297">
        <v>353</v>
      </c>
      <c r="C472" s="298">
        <v>0.75</v>
      </c>
      <c r="D472" s="298">
        <v>0.79500000000000004</v>
      </c>
      <c r="E472" s="298">
        <v>0.81</v>
      </c>
      <c r="F472" s="298">
        <v>0.82499999999999996</v>
      </c>
      <c r="G472" s="299">
        <f t="shared" si="37"/>
        <v>3826.44</v>
      </c>
      <c r="H472" s="299">
        <f t="shared" si="38"/>
        <v>4056.0263999999997</v>
      </c>
      <c r="I472" s="299">
        <f t="shared" si="39"/>
        <v>4132.5551999999998</v>
      </c>
      <c r="J472" s="299">
        <f t="shared" si="40"/>
        <v>4209.0839999999998</v>
      </c>
    </row>
    <row r="473" spans="1:10" x14ac:dyDescent="0.2">
      <c r="A473" s="297">
        <v>464</v>
      </c>
      <c r="B473" s="297">
        <v>354</v>
      </c>
      <c r="C473" s="298">
        <v>0.75</v>
      </c>
      <c r="D473" s="298">
        <v>0.79500000000000004</v>
      </c>
      <c r="E473" s="298">
        <v>0.81</v>
      </c>
      <c r="F473" s="298">
        <v>0.82499999999999996</v>
      </c>
      <c r="G473" s="299">
        <f t="shared" si="37"/>
        <v>3835.44</v>
      </c>
      <c r="H473" s="299">
        <f t="shared" si="38"/>
        <v>4065.5663999999997</v>
      </c>
      <c r="I473" s="299">
        <f t="shared" si="39"/>
        <v>4142.2752</v>
      </c>
      <c r="J473" s="299">
        <f t="shared" si="40"/>
        <v>4218.9840000000004</v>
      </c>
    </row>
    <row r="474" spans="1:10" x14ac:dyDescent="0.2">
      <c r="A474" s="297">
        <v>465</v>
      </c>
      <c r="B474" s="297">
        <v>355</v>
      </c>
      <c r="C474" s="298">
        <v>0.75</v>
      </c>
      <c r="D474" s="298">
        <v>0.79500000000000004</v>
      </c>
      <c r="E474" s="298">
        <v>0.81</v>
      </c>
      <c r="F474" s="298">
        <v>0.82499999999999996</v>
      </c>
      <c r="G474" s="299">
        <f t="shared" si="37"/>
        <v>3844.44</v>
      </c>
      <c r="H474" s="299">
        <f t="shared" si="38"/>
        <v>4075.1064000000001</v>
      </c>
      <c r="I474" s="299">
        <f t="shared" si="39"/>
        <v>4151.9952000000003</v>
      </c>
      <c r="J474" s="299">
        <f t="shared" si="40"/>
        <v>4228.884</v>
      </c>
    </row>
    <row r="475" spans="1:10" x14ac:dyDescent="0.2">
      <c r="A475" s="297">
        <v>466</v>
      </c>
      <c r="B475" s="297">
        <v>356</v>
      </c>
      <c r="C475" s="298">
        <v>0.75</v>
      </c>
      <c r="D475" s="298">
        <v>0.79500000000000004</v>
      </c>
      <c r="E475" s="298">
        <v>0.81</v>
      </c>
      <c r="F475" s="298">
        <v>0.82499999999999996</v>
      </c>
      <c r="G475" s="299">
        <f t="shared" si="37"/>
        <v>3853.44</v>
      </c>
      <c r="H475" s="299">
        <f t="shared" si="38"/>
        <v>4084.6464000000005</v>
      </c>
      <c r="I475" s="299">
        <f t="shared" si="39"/>
        <v>4161.7152000000006</v>
      </c>
      <c r="J475" s="299">
        <f t="shared" si="40"/>
        <v>4238.7839999999997</v>
      </c>
    </row>
    <row r="476" spans="1:10" x14ac:dyDescent="0.2">
      <c r="A476" s="297">
        <v>467</v>
      </c>
      <c r="B476" s="297">
        <v>357</v>
      </c>
      <c r="C476" s="298">
        <v>0.75</v>
      </c>
      <c r="D476" s="298">
        <v>0.79500000000000004</v>
      </c>
      <c r="E476" s="298">
        <v>0.81</v>
      </c>
      <c r="F476" s="298">
        <v>0.82499999999999996</v>
      </c>
      <c r="G476" s="299">
        <f t="shared" si="37"/>
        <v>3862.44</v>
      </c>
      <c r="H476" s="299">
        <f t="shared" si="38"/>
        <v>4094.1863999999996</v>
      </c>
      <c r="I476" s="299">
        <f t="shared" si="39"/>
        <v>4171.4351999999999</v>
      </c>
      <c r="J476" s="299">
        <f t="shared" si="40"/>
        <v>4248.6839999999993</v>
      </c>
    </row>
    <row r="477" spans="1:10" x14ac:dyDescent="0.2">
      <c r="A477" s="297">
        <v>468</v>
      </c>
      <c r="B477" s="297">
        <v>358</v>
      </c>
      <c r="C477" s="298">
        <v>0.75</v>
      </c>
      <c r="D477" s="298">
        <v>0.79500000000000004</v>
      </c>
      <c r="E477" s="298">
        <v>0.81</v>
      </c>
      <c r="F477" s="298">
        <v>0.82499999999999996</v>
      </c>
      <c r="G477" s="299">
        <f t="shared" si="37"/>
        <v>3871.44</v>
      </c>
      <c r="H477" s="299">
        <f t="shared" si="38"/>
        <v>4103.7264000000005</v>
      </c>
      <c r="I477" s="299">
        <f t="shared" si="39"/>
        <v>4181.1552000000001</v>
      </c>
      <c r="J477" s="299">
        <f t="shared" si="40"/>
        <v>4258.5839999999998</v>
      </c>
    </row>
    <row r="478" spans="1:10" x14ac:dyDescent="0.2">
      <c r="A478" s="297">
        <v>469</v>
      </c>
      <c r="B478" s="297">
        <v>359</v>
      </c>
      <c r="C478" s="298">
        <v>0.75</v>
      </c>
      <c r="D478" s="298">
        <v>0.79500000000000004</v>
      </c>
      <c r="E478" s="298">
        <v>0.81</v>
      </c>
      <c r="F478" s="298">
        <v>0.82499999999999996</v>
      </c>
      <c r="G478" s="299">
        <f t="shared" si="37"/>
        <v>3880.44</v>
      </c>
      <c r="H478" s="299">
        <f t="shared" si="38"/>
        <v>4113.2664000000004</v>
      </c>
      <c r="I478" s="299">
        <f t="shared" si="39"/>
        <v>4190.8752000000004</v>
      </c>
      <c r="J478" s="299">
        <f t="shared" si="40"/>
        <v>4268.4840000000004</v>
      </c>
    </row>
    <row r="479" spans="1:10" x14ac:dyDescent="0.2">
      <c r="A479" s="297">
        <v>470</v>
      </c>
      <c r="B479" s="297">
        <v>360</v>
      </c>
      <c r="C479" s="298">
        <v>0.75</v>
      </c>
      <c r="D479" s="298">
        <v>0.79500000000000004</v>
      </c>
      <c r="E479" s="298">
        <v>0.81</v>
      </c>
      <c r="F479" s="298">
        <v>0.82499999999999996</v>
      </c>
      <c r="G479" s="299">
        <f t="shared" si="37"/>
        <v>3889.44</v>
      </c>
      <c r="H479" s="299">
        <f t="shared" si="38"/>
        <v>4122.8063999999995</v>
      </c>
      <c r="I479" s="299">
        <f t="shared" si="39"/>
        <v>4200.5951999999997</v>
      </c>
      <c r="J479" s="299">
        <f t="shared" si="40"/>
        <v>4278.384</v>
      </c>
    </row>
    <row r="480" spans="1:10" x14ac:dyDescent="0.2">
      <c r="A480" s="297">
        <v>471</v>
      </c>
      <c r="B480" s="297">
        <v>361</v>
      </c>
      <c r="C480" s="298">
        <v>0.75</v>
      </c>
      <c r="D480" s="298">
        <v>0.79500000000000004</v>
      </c>
      <c r="E480" s="298">
        <v>0.81</v>
      </c>
      <c r="F480" s="298">
        <v>0.82499999999999996</v>
      </c>
      <c r="G480" s="299">
        <f t="shared" si="37"/>
        <v>3898.44</v>
      </c>
      <c r="H480" s="299">
        <f t="shared" si="38"/>
        <v>4132.3464000000004</v>
      </c>
      <c r="I480" s="299">
        <f t="shared" si="39"/>
        <v>4210.3152</v>
      </c>
      <c r="J480" s="299">
        <f t="shared" si="40"/>
        <v>4288.2839999999997</v>
      </c>
    </row>
    <row r="481" spans="1:10" x14ac:dyDescent="0.2">
      <c r="A481" s="297">
        <v>472</v>
      </c>
      <c r="B481" s="297">
        <v>362</v>
      </c>
      <c r="C481" s="298">
        <v>0.75</v>
      </c>
      <c r="D481" s="298">
        <v>0.79500000000000004</v>
      </c>
      <c r="E481" s="298">
        <v>0.81</v>
      </c>
      <c r="F481" s="298">
        <v>0.82499999999999996</v>
      </c>
      <c r="G481" s="299">
        <f t="shared" si="37"/>
        <v>3907.44</v>
      </c>
      <c r="H481" s="299">
        <f t="shared" si="38"/>
        <v>4141.8864000000003</v>
      </c>
      <c r="I481" s="299">
        <f t="shared" si="39"/>
        <v>4220.0352000000003</v>
      </c>
      <c r="J481" s="299">
        <f t="shared" si="40"/>
        <v>4298.1839999999993</v>
      </c>
    </row>
    <row r="482" spans="1:10" x14ac:dyDescent="0.2">
      <c r="A482" s="297">
        <v>473</v>
      </c>
      <c r="B482" s="297">
        <v>363</v>
      </c>
      <c r="C482" s="298">
        <v>0.75</v>
      </c>
      <c r="D482" s="298">
        <v>0.79500000000000004</v>
      </c>
      <c r="E482" s="298">
        <v>0.81</v>
      </c>
      <c r="F482" s="298">
        <v>0.82499999999999996</v>
      </c>
      <c r="G482" s="299">
        <f t="shared" si="37"/>
        <v>3916.44</v>
      </c>
      <c r="H482" s="299">
        <f t="shared" si="38"/>
        <v>4151.4264000000003</v>
      </c>
      <c r="I482" s="299">
        <f t="shared" si="39"/>
        <v>4229.7552000000005</v>
      </c>
      <c r="J482" s="299">
        <f t="shared" si="40"/>
        <v>4308.0839999999998</v>
      </c>
    </row>
    <row r="483" spans="1:10" x14ac:dyDescent="0.2">
      <c r="A483" s="297">
        <v>474</v>
      </c>
      <c r="B483" s="297">
        <v>364</v>
      </c>
      <c r="C483" s="298">
        <v>0.75</v>
      </c>
      <c r="D483" s="298">
        <v>0.79500000000000004</v>
      </c>
      <c r="E483" s="298">
        <v>0.81</v>
      </c>
      <c r="F483" s="298">
        <v>0.82499999999999996</v>
      </c>
      <c r="G483" s="299">
        <f t="shared" si="37"/>
        <v>3925.44</v>
      </c>
      <c r="H483" s="299">
        <f t="shared" si="38"/>
        <v>4160.9664000000002</v>
      </c>
      <c r="I483" s="299">
        <f t="shared" si="39"/>
        <v>4239.4752000000008</v>
      </c>
      <c r="J483" s="299">
        <f t="shared" si="40"/>
        <v>4317.9840000000004</v>
      </c>
    </row>
    <row r="484" spans="1:10" x14ac:dyDescent="0.2">
      <c r="A484" s="297">
        <v>475</v>
      </c>
      <c r="B484" s="297">
        <v>365</v>
      </c>
      <c r="C484" s="298">
        <v>0.75</v>
      </c>
      <c r="D484" s="298">
        <v>0.79500000000000004</v>
      </c>
      <c r="E484" s="298">
        <v>0.81</v>
      </c>
      <c r="F484" s="298">
        <v>0.82499999999999996</v>
      </c>
      <c r="G484" s="299">
        <f t="shared" si="37"/>
        <v>3934.44</v>
      </c>
      <c r="H484" s="299">
        <f t="shared" si="38"/>
        <v>4170.5064000000002</v>
      </c>
      <c r="I484" s="299">
        <f t="shared" si="39"/>
        <v>4249.1952000000001</v>
      </c>
      <c r="J484" s="299">
        <f t="shared" si="40"/>
        <v>4327.884</v>
      </c>
    </row>
    <row r="485" spans="1:10" x14ac:dyDescent="0.2">
      <c r="A485" s="297">
        <v>476</v>
      </c>
      <c r="B485" s="297">
        <v>366</v>
      </c>
      <c r="C485" s="298">
        <v>0.75</v>
      </c>
      <c r="D485" s="298">
        <v>0.79500000000000004</v>
      </c>
      <c r="E485" s="298">
        <v>0.81</v>
      </c>
      <c r="F485" s="298">
        <v>0.82499999999999996</v>
      </c>
      <c r="G485" s="299">
        <f t="shared" si="37"/>
        <v>3943.44</v>
      </c>
      <c r="H485" s="299">
        <f t="shared" si="38"/>
        <v>4180.0464000000002</v>
      </c>
      <c r="I485" s="299">
        <f t="shared" si="39"/>
        <v>4258.9152000000004</v>
      </c>
      <c r="J485" s="299">
        <f t="shared" si="40"/>
        <v>4337.7839999999997</v>
      </c>
    </row>
    <row r="486" spans="1:10" x14ac:dyDescent="0.2">
      <c r="A486" s="297">
        <v>477</v>
      </c>
      <c r="B486" s="297">
        <v>367</v>
      </c>
      <c r="C486" s="298">
        <v>0.75</v>
      </c>
      <c r="D486" s="298">
        <v>0.79500000000000004</v>
      </c>
      <c r="E486" s="298">
        <v>0.81</v>
      </c>
      <c r="F486" s="298">
        <v>0.82499999999999996</v>
      </c>
      <c r="G486" s="299">
        <f t="shared" si="37"/>
        <v>3952.44</v>
      </c>
      <c r="H486" s="299">
        <f t="shared" si="38"/>
        <v>4189.5864000000001</v>
      </c>
      <c r="I486" s="299">
        <f t="shared" si="39"/>
        <v>4268.6352000000006</v>
      </c>
      <c r="J486" s="299">
        <f t="shared" si="40"/>
        <v>4347.6839999999993</v>
      </c>
    </row>
    <row r="487" spans="1:10" x14ac:dyDescent="0.2">
      <c r="A487" s="297">
        <v>478</v>
      </c>
      <c r="B487" s="297">
        <v>368</v>
      </c>
      <c r="C487" s="298">
        <v>0.75</v>
      </c>
      <c r="D487" s="298">
        <v>0.79500000000000004</v>
      </c>
      <c r="E487" s="298">
        <v>0.81</v>
      </c>
      <c r="F487" s="298">
        <v>0.82499999999999996</v>
      </c>
      <c r="G487" s="299">
        <f t="shared" si="37"/>
        <v>3961.44</v>
      </c>
      <c r="H487" s="299">
        <f t="shared" si="38"/>
        <v>4199.1264000000001</v>
      </c>
      <c r="I487" s="299">
        <f t="shared" si="39"/>
        <v>4278.3552</v>
      </c>
      <c r="J487" s="299">
        <f t="shared" si="40"/>
        <v>4357.5839999999998</v>
      </c>
    </row>
    <row r="488" spans="1:10" x14ac:dyDescent="0.2">
      <c r="A488" s="297">
        <v>479</v>
      </c>
      <c r="B488" s="297">
        <v>369</v>
      </c>
      <c r="C488" s="298">
        <v>0.75</v>
      </c>
      <c r="D488" s="298">
        <v>0.79500000000000004</v>
      </c>
      <c r="E488" s="298">
        <v>0.81</v>
      </c>
      <c r="F488" s="298">
        <v>0.82499999999999996</v>
      </c>
      <c r="G488" s="299">
        <f t="shared" si="37"/>
        <v>3970.44</v>
      </c>
      <c r="H488" s="299">
        <f t="shared" si="38"/>
        <v>4208.6664000000001</v>
      </c>
      <c r="I488" s="299">
        <f t="shared" si="39"/>
        <v>4288.0752000000002</v>
      </c>
      <c r="J488" s="299">
        <f t="shared" si="40"/>
        <v>4367.4840000000004</v>
      </c>
    </row>
    <row r="489" spans="1:10" x14ac:dyDescent="0.2">
      <c r="A489" s="297">
        <v>480</v>
      </c>
      <c r="B489" s="297">
        <v>370</v>
      </c>
      <c r="C489" s="298">
        <v>0.75</v>
      </c>
      <c r="D489" s="298">
        <v>0.79500000000000004</v>
      </c>
      <c r="E489" s="298">
        <v>0.81</v>
      </c>
      <c r="F489" s="298">
        <v>0.82499999999999996</v>
      </c>
      <c r="G489" s="299">
        <f t="shared" si="37"/>
        <v>3979.44</v>
      </c>
      <c r="H489" s="299">
        <f t="shared" si="38"/>
        <v>4218.2064</v>
      </c>
      <c r="I489" s="299">
        <f t="shared" si="39"/>
        <v>4297.7952000000005</v>
      </c>
      <c r="J489" s="299">
        <f t="shared" si="40"/>
        <v>4377.384</v>
      </c>
    </row>
    <row r="490" spans="1:10" x14ac:dyDescent="0.2">
      <c r="A490" s="297">
        <v>481</v>
      </c>
      <c r="B490" s="297">
        <v>371</v>
      </c>
      <c r="C490" s="298">
        <v>0.75</v>
      </c>
      <c r="D490" s="298">
        <v>0.79500000000000004</v>
      </c>
      <c r="E490" s="298">
        <v>0.81</v>
      </c>
      <c r="F490" s="298">
        <v>0.82499999999999996</v>
      </c>
      <c r="G490" s="299">
        <f t="shared" si="37"/>
        <v>3988.44</v>
      </c>
      <c r="H490" s="299">
        <f t="shared" si="38"/>
        <v>4227.7464</v>
      </c>
      <c r="I490" s="299">
        <f t="shared" si="39"/>
        <v>4307.5152000000007</v>
      </c>
      <c r="J490" s="299">
        <f t="shared" si="40"/>
        <v>4387.2839999999997</v>
      </c>
    </row>
    <row r="491" spans="1:10" x14ac:dyDescent="0.2">
      <c r="A491" s="297">
        <v>482</v>
      </c>
      <c r="B491" s="297">
        <v>372</v>
      </c>
      <c r="C491" s="298">
        <v>0.75</v>
      </c>
      <c r="D491" s="298">
        <v>0.79500000000000004</v>
      </c>
      <c r="E491" s="298">
        <v>0.81</v>
      </c>
      <c r="F491" s="298">
        <v>0.82499999999999996</v>
      </c>
      <c r="G491" s="299">
        <f t="shared" si="37"/>
        <v>3997.44</v>
      </c>
      <c r="H491" s="299">
        <f t="shared" si="38"/>
        <v>4237.2864</v>
      </c>
      <c r="I491" s="299">
        <f t="shared" si="39"/>
        <v>4317.2352000000001</v>
      </c>
      <c r="J491" s="299">
        <f t="shared" si="40"/>
        <v>4397.1839999999993</v>
      </c>
    </row>
    <row r="492" spans="1:10" x14ac:dyDescent="0.2">
      <c r="A492" s="297">
        <v>483</v>
      </c>
      <c r="B492" s="297">
        <v>373</v>
      </c>
      <c r="C492" s="298">
        <v>0.75</v>
      </c>
      <c r="D492" s="298">
        <v>0.79500000000000004</v>
      </c>
      <c r="E492" s="298">
        <v>0.81</v>
      </c>
      <c r="F492" s="298">
        <v>0.82499999999999996</v>
      </c>
      <c r="G492" s="299">
        <f t="shared" si="37"/>
        <v>4006.44</v>
      </c>
      <c r="H492" s="299">
        <f t="shared" si="38"/>
        <v>4246.8263999999999</v>
      </c>
      <c r="I492" s="299">
        <f t="shared" si="39"/>
        <v>4326.9552000000003</v>
      </c>
      <c r="J492" s="299">
        <f t="shared" si="40"/>
        <v>4407.0839999999998</v>
      </c>
    </row>
    <row r="493" spans="1:10" x14ac:dyDescent="0.2">
      <c r="A493" s="297">
        <v>484</v>
      </c>
      <c r="B493" s="297">
        <v>374</v>
      </c>
      <c r="C493" s="298">
        <v>0.75</v>
      </c>
      <c r="D493" s="298">
        <v>0.79500000000000004</v>
      </c>
      <c r="E493" s="298">
        <v>0.81</v>
      </c>
      <c r="F493" s="298">
        <v>0.82499999999999996</v>
      </c>
      <c r="G493" s="299">
        <f t="shared" si="37"/>
        <v>4015.44</v>
      </c>
      <c r="H493" s="299">
        <f t="shared" si="38"/>
        <v>4256.3664000000008</v>
      </c>
      <c r="I493" s="299">
        <f t="shared" si="39"/>
        <v>4336.6751999999997</v>
      </c>
      <c r="J493" s="299">
        <f t="shared" si="40"/>
        <v>4416.9840000000004</v>
      </c>
    </row>
    <row r="494" spans="1:10" x14ac:dyDescent="0.2">
      <c r="A494" s="297">
        <v>485</v>
      </c>
      <c r="B494" s="297">
        <v>375</v>
      </c>
      <c r="C494" s="298">
        <v>0.75</v>
      </c>
      <c r="D494" s="298">
        <v>0.79500000000000004</v>
      </c>
      <c r="E494" s="298">
        <v>0.81</v>
      </c>
      <c r="F494" s="298">
        <v>0.82499999999999996</v>
      </c>
      <c r="G494" s="299">
        <f t="shared" si="37"/>
        <v>4024.44</v>
      </c>
      <c r="H494" s="299">
        <f t="shared" si="38"/>
        <v>4265.9063999999998</v>
      </c>
      <c r="I494" s="299">
        <f t="shared" si="39"/>
        <v>4346.3951999999999</v>
      </c>
      <c r="J494" s="299">
        <f t="shared" si="40"/>
        <v>4426.884</v>
      </c>
    </row>
    <row r="495" spans="1:10" x14ac:dyDescent="0.2">
      <c r="A495" s="297">
        <v>486</v>
      </c>
      <c r="B495" s="297">
        <v>376</v>
      </c>
      <c r="C495" s="298">
        <v>0.75</v>
      </c>
      <c r="D495" s="298">
        <v>0.79500000000000004</v>
      </c>
      <c r="E495" s="298">
        <v>0.81</v>
      </c>
      <c r="F495" s="298">
        <v>0.82499999999999996</v>
      </c>
      <c r="G495" s="299">
        <f t="shared" si="37"/>
        <v>4033.44</v>
      </c>
      <c r="H495" s="299">
        <f t="shared" si="38"/>
        <v>4275.4463999999998</v>
      </c>
      <c r="I495" s="299">
        <f t="shared" si="39"/>
        <v>4356.1152000000002</v>
      </c>
      <c r="J495" s="299">
        <f t="shared" si="40"/>
        <v>4436.7839999999997</v>
      </c>
    </row>
    <row r="496" spans="1:10" x14ac:dyDescent="0.2">
      <c r="A496" s="297">
        <v>487</v>
      </c>
      <c r="B496" s="297">
        <v>377</v>
      </c>
      <c r="C496" s="298">
        <v>0.75</v>
      </c>
      <c r="D496" s="298">
        <v>0.79500000000000004</v>
      </c>
      <c r="E496" s="298">
        <v>0.81</v>
      </c>
      <c r="F496" s="298">
        <v>0.82499999999999996</v>
      </c>
      <c r="G496" s="299">
        <f t="shared" si="37"/>
        <v>4042.44</v>
      </c>
      <c r="H496" s="299">
        <f t="shared" si="38"/>
        <v>4284.9864000000007</v>
      </c>
      <c r="I496" s="299">
        <f t="shared" si="39"/>
        <v>4365.8351999999995</v>
      </c>
      <c r="J496" s="299">
        <f t="shared" si="40"/>
        <v>4446.6839999999993</v>
      </c>
    </row>
    <row r="497" spans="1:10" x14ac:dyDescent="0.2">
      <c r="A497" s="297">
        <v>488</v>
      </c>
      <c r="B497" s="297">
        <v>378</v>
      </c>
      <c r="C497" s="298">
        <v>0.75</v>
      </c>
      <c r="D497" s="298">
        <v>0.79500000000000004</v>
      </c>
      <c r="E497" s="298">
        <v>0.81</v>
      </c>
      <c r="F497" s="298">
        <v>0.82499999999999996</v>
      </c>
      <c r="G497" s="299">
        <f t="shared" si="37"/>
        <v>4051.44</v>
      </c>
      <c r="H497" s="299">
        <f t="shared" si="38"/>
        <v>4294.5263999999997</v>
      </c>
      <c r="I497" s="299">
        <f t="shared" si="39"/>
        <v>4375.5551999999998</v>
      </c>
      <c r="J497" s="299">
        <f t="shared" si="40"/>
        <v>4456.5839999999998</v>
      </c>
    </row>
    <row r="498" spans="1:10" x14ac:dyDescent="0.2">
      <c r="A498" s="297">
        <v>489</v>
      </c>
      <c r="B498" s="297">
        <v>379</v>
      </c>
      <c r="C498" s="298">
        <v>0.75</v>
      </c>
      <c r="D498" s="298">
        <v>0.79500000000000004</v>
      </c>
      <c r="E498" s="298">
        <v>0.81</v>
      </c>
      <c r="F498" s="298">
        <v>0.82499999999999996</v>
      </c>
      <c r="G498" s="299">
        <f t="shared" si="37"/>
        <v>4060.44</v>
      </c>
      <c r="H498" s="299">
        <f t="shared" si="38"/>
        <v>4304.0663999999997</v>
      </c>
      <c r="I498" s="299">
        <f t="shared" si="39"/>
        <v>4385.2752</v>
      </c>
      <c r="J498" s="299">
        <f t="shared" si="40"/>
        <v>4466.4840000000004</v>
      </c>
    </row>
    <row r="499" spans="1:10" x14ac:dyDescent="0.2">
      <c r="A499" s="297">
        <v>490</v>
      </c>
      <c r="B499" s="297">
        <v>380</v>
      </c>
      <c r="C499" s="298">
        <v>0.75</v>
      </c>
      <c r="D499" s="298">
        <v>0.79500000000000004</v>
      </c>
      <c r="E499" s="298">
        <v>0.81</v>
      </c>
      <c r="F499" s="298">
        <v>0.82499999999999996</v>
      </c>
      <c r="G499" s="299">
        <f t="shared" si="37"/>
        <v>4069.44</v>
      </c>
      <c r="H499" s="299">
        <f t="shared" si="38"/>
        <v>4313.6064000000006</v>
      </c>
      <c r="I499" s="299">
        <f t="shared" si="39"/>
        <v>4394.9952000000003</v>
      </c>
      <c r="J499" s="299">
        <f t="shared" si="40"/>
        <v>4476.384</v>
      </c>
    </row>
    <row r="500" spans="1:10" x14ac:dyDescent="0.2">
      <c r="A500" s="297">
        <v>491</v>
      </c>
      <c r="B500" s="297">
        <v>381</v>
      </c>
      <c r="C500" s="298">
        <v>0.75</v>
      </c>
      <c r="D500" s="298">
        <v>0.79500000000000004</v>
      </c>
      <c r="E500" s="298">
        <v>0.81</v>
      </c>
      <c r="F500" s="298">
        <v>0.82499999999999996</v>
      </c>
      <c r="G500" s="299">
        <f t="shared" si="37"/>
        <v>4078.44</v>
      </c>
      <c r="H500" s="299">
        <f t="shared" si="38"/>
        <v>4323.1464000000005</v>
      </c>
      <c r="I500" s="299">
        <f t="shared" si="39"/>
        <v>4404.7152000000006</v>
      </c>
      <c r="J500" s="299">
        <f t="shared" si="40"/>
        <v>4486.2839999999997</v>
      </c>
    </row>
    <row r="501" spans="1:10" x14ac:dyDescent="0.2">
      <c r="A501" s="297">
        <v>492</v>
      </c>
      <c r="B501" s="297">
        <v>382</v>
      </c>
      <c r="C501" s="298">
        <v>0.75</v>
      </c>
      <c r="D501" s="298">
        <v>0.79500000000000004</v>
      </c>
      <c r="E501" s="298">
        <v>0.81</v>
      </c>
      <c r="F501" s="298">
        <v>0.82499999999999996</v>
      </c>
      <c r="G501" s="299">
        <f t="shared" si="37"/>
        <v>4087.44</v>
      </c>
      <c r="H501" s="299">
        <f t="shared" si="38"/>
        <v>4332.6863999999996</v>
      </c>
      <c r="I501" s="299">
        <f t="shared" si="39"/>
        <v>4414.4351999999999</v>
      </c>
      <c r="J501" s="299">
        <f t="shared" si="40"/>
        <v>4496.1839999999993</v>
      </c>
    </row>
    <row r="502" spans="1:10" x14ac:dyDescent="0.2">
      <c r="A502" s="297">
        <v>493</v>
      </c>
      <c r="B502" s="297">
        <v>383</v>
      </c>
      <c r="C502" s="298">
        <v>0.75</v>
      </c>
      <c r="D502" s="298">
        <v>0.79500000000000004</v>
      </c>
      <c r="E502" s="298">
        <v>0.81</v>
      </c>
      <c r="F502" s="298">
        <v>0.82499999999999996</v>
      </c>
      <c r="G502" s="299">
        <f t="shared" si="37"/>
        <v>4096.4400000000005</v>
      </c>
      <c r="H502" s="299">
        <f t="shared" si="38"/>
        <v>4342.2264000000005</v>
      </c>
      <c r="I502" s="299">
        <f t="shared" si="39"/>
        <v>4424.1552000000001</v>
      </c>
      <c r="J502" s="299">
        <f t="shared" si="40"/>
        <v>4506.0839999999998</v>
      </c>
    </row>
    <row r="503" spans="1:10" x14ac:dyDescent="0.2">
      <c r="A503" s="297">
        <v>494</v>
      </c>
      <c r="B503" s="297">
        <v>384</v>
      </c>
      <c r="C503" s="298">
        <v>0.75</v>
      </c>
      <c r="D503" s="298">
        <v>0.79500000000000004</v>
      </c>
      <c r="E503" s="298">
        <v>0.81</v>
      </c>
      <c r="F503" s="298">
        <v>0.82499999999999996</v>
      </c>
      <c r="G503" s="299">
        <f t="shared" si="37"/>
        <v>4105.4400000000005</v>
      </c>
      <c r="H503" s="299">
        <f t="shared" si="38"/>
        <v>4351.7664000000004</v>
      </c>
      <c r="I503" s="299">
        <f t="shared" si="39"/>
        <v>4433.8752000000004</v>
      </c>
      <c r="J503" s="299">
        <f t="shared" si="40"/>
        <v>4515.9839999999995</v>
      </c>
    </row>
    <row r="504" spans="1:10" x14ac:dyDescent="0.2">
      <c r="A504" s="297">
        <v>495</v>
      </c>
      <c r="B504" s="297">
        <v>385</v>
      </c>
      <c r="C504" s="298">
        <v>0.75</v>
      </c>
      <c r="D504" s="298">
        <v>0.79500000000000004</v>
      </c>
      <c r="E504" s="298">
        <v>0.81</v>
      </c>
      <c r="F504" s="298">
        <v>0.82499999999999996</v>
      </c>
      <c r="G504" s="299">
        <f t="shared" si="37"/>
        <v>4114.4400000000005</v>
      </c>
      <c r="H504" s="299">
        <f t="shared" si="38"/>
        <v>4361.3063999999995</v>
      </c>
      <c r="I504" s="299">
        <f t="shared" si="39"/>
        <v>4443.5951999999997</v>
      </c>
      <c r="J504" s="299">
        <f t="shared" si="40"/>
        <v>4525.884</v>
      </c>
    </row>
    <row r="505" spans="1:10" x14ac:dyDescent="0.2">
      <c r="A505" s="297">
        <v>496</v>
      </c>
      <c r="B505" s="297">
        <v>386</v>
      </c>
      <c r="C505" s="298">
        <v>0.75</v>
      </c>
      <c r="D505" s="298">
        <v>0.79500000000000004</v>
      </c>
      <c r="E505" s="298">
        <v>0.81</v>
      </c>
      <c r="F505" s="298">
        <v>0.82499999999999996</v>
      </c>
      <c r="G505" s="299">
        <f t="shared" ref="G505:G509" si="41">G$119+$B505*C505*12</f>
        <v>4123.4400000000005</v>
      </c>
      <c r="H505" s="299">
        <f t="shared" si="38"/>
        <v>4370.8464000000004</v>
      </c>
      <c r="I505" s="299">
        <f t="shared" si="39"/>
        <v>4453.3152</v>
      </c>
      <c r="J505" s="299">
        <f t="shared" si="40"/>
        <v>4535.7839999999997</v>
      </c>
    </row>
    <row r="506" spans="1:10" x14ac:dyDescent="0.2">
      <c r="A506" s="297">
        <v>497</v>
      </c>
      <c r="B506" s="297">
        <v>387</v>
      </c>
      <c r="C506" s="298">
        <v>0.75</v>
      </c>
      <c r="D506" s="298">
        <v>0.79500000000000004</v>
      </c>
      <c r="E506" s="298">
        <v>0.81</v>
      </c>
      <c r="F506" s="298">
        <v>0.82499999999999996</v>
      </c>
      <c r="G506" s="299">
        <f t="shared" si="41"/>
        <v>4132.4400000000005</v>
      </c>
      <c r="H506" s="299">
        <f t="shared" si="38"/>
        <v>4380.3864000000003</v>
      </c>
      <c r="I506" s="299">
        <f t="shared" si="39"/>
        <v>4463.0352000000003</v>
      </c>
      <c r="J506" s="299">
        <f t="shared" si="40"/>
        <v>4545.6839999999993</v>
      </c>
    </row>
    <row r="507" spans="1:10" x14ac:dyDescent="0.2">
      <c r="A507" s="297">
        <v>498</v>
      </c>
      <c r="B507" s="297">
        <v>388</v>
      </c>
      <c r="C507" s="298">
        <v>0.75</v>
      </c>
      <c r="D507" s="298">
        <v>0.79500000000000004</v>
      </c>
      <c r="E507" s="298">
        <v>0.81</v>
      </c>
      <c r="F507" s="298">
        <v>0.82499999999999996</v>
      </c>
      <c r="G507" s="299">
        <f t="shared" si="41"/>
        <v>4141.4400000000005</v>
      </c>
      <c r="H507" s="299">
        <f t="shared" si="38"/>
        <v>4389.9264000000003</v>
      </c>
      <c r="I507" s="299">
        <f t="shared" si="39"/>
        <v>4472.7552000000005</v>
      </c>
      <c r="J507" s="299">
        <f t="shared" si="40"/>
        <v>4555.5839999999998</v>
      </c>
    </row>
    <row r="508" spans="1:10" x14ac:dyDescent="0.2">
      <c r="A508" s="297">
        <v>499</v>
      </c>
      <c r="B508" s="297">
        <v>389</v>
      </c>
      <c r="C508" s="298">
        <v>0.75</v>
      </c>
      <c r="D508" s="298">
        <v>0.79500000000000004</v>
      </c>
      <c r="E508" s="298">
        <v>0.81</v>
      </c>
      <c r="F508" s="298">
        <v>0.82499999999999996</v>
      </c>
      <c r="G508" s="299">
        <f t="shared" si="41"/>
        <v>4150.4400000000005</v>
      </c>
      <c r="H508" s="299">
        <f t="shared" si="38"/>
        <v>4399.4664000000002</v>
      </c>
      <c r="I508" s="299">
        <f t="shared" si="39"/>
        <v>4482.4752000000008</v>
      </c>
      <c r="J508" s="299">
        <f t="shared" si="40"/>
        <v>4565.4839999999995</v>
      </c>
    </row>
    <row r="509" spans="1:10" x14ac:dyDescent="0.2">
      <c r="A509" s="297">
        <v>500</v>
      </c>
      <c r="B509" s="297">
        <v>390</v>
      </c>
      <c r="C509" s="298">
        <v>0.75</v>
      </c>
      <c r="D509" s="298">
        <v>0.79500000000000004</v>
      </c>
      <c r="E509" s="298">
        <v>0.81</v>
      </c>
      <c r="F509" s="298">
        <v>0.82499999999999996</v>
      </c>
      <c r="G509" s="299">
        <f t="shared" si="41"/>
        <v>4159.4400000000005</v>
      </c>
      <c r="H509" s="299">
        <f t="shared" si="38"/>
        <v>4409.0064000000002</v>
      </c>
      <c r="I509" s="299">
        <f t="shared" si="39"/>
        <v>4492.1952000000001</v>
      </c>
      <c r="J509" s="299">
        <f t="shared" si="40"/>
        <v>4575.384</v>
      </c>
    </row>
  </sheetData>
  <mergeCells count="8">
    <mergeCell ref="G7:J7"/>
    <mergeCell ref="G8:J8"/>
    <mergeCell ref="C7:F7"/>
    <mergeCell ref="C8:F8"/>
    <mergeCell ref="L1:P1"/>
    <mergeCell ref="E1:H1"/>
    <mergeCell ref="A1:C1"/>
    <mergeCell ref="E2:H2"/>
  </mergeCells>
  <dataValidations count="1">
    <dataValidation type="list" allowBlank="1" showInputMessage="1" showErrorMessage="1" sqref="R3">
      <formula1>$T$3:$T$7</formula1>
    </dataValidation>
  </dataValidation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J7"/>
  <sheetViews>
    <sheetView workbookViewId="0">
      <selection activeCell="H7" sqref="H7"/>
    </sheetView>
  </sheetViews>
  <sheetFormatPr baseColWidth="10" defaultColWidth="11.375" defaultRowHeight="12.9" x14ac:dyDescent="0.2"/>
  <cols>
    <col min="3" max="3" width="32" bestFit="1" customWidth="1"/>
  </cols>
  <sheetData>
    <row r="1" spans="1:10" x14ac:dyDescent="0.2">
      <c r="I1" s="295" t="s">
        <v>2586</v>
      </c>
      <c r="J1" s="295" t="s">
        <v>2590</v>
      </c>
    </row>
    <row r="2" spans="1:10" x14ac:dyDescent="0.2">
      <c r="A2" s="757" t="s">
        <v>2585</v>
      </c>
      <c r="B2" s="757"/>
      <c r="C2" t="s">
        <v>2584</v>
      </c>
      <c r="D2">
        <v>7</v>
      </c>
      <c r="E2">
        <v>2.39</v>
      </c>
      <c r="F2">
        <v>1.5</v>
      </c>
      <c r="G2">
        <v>0.77700000000000002</v>
      </c>
      <c r="H2">
        <v>11.667</v>
      </c>
      <c r="I2">
        <v>14</v>
      </c>
      <c r="J2">
        <f>I2+$I$7*100</f>
        <v>17.003002729754321</v>
      </c>
    </row>
    <row r="3" spans="1:10" x14ac:dyDescent="0.2">
      <c r="A3" s="757"/>
      <c r="B3" s="757"/>
      <c r="C3" t="s">
        <v>2583</v>
      </c>
      <c r="D3">
        <v>5.6</v>
      </c>
      <c r="E3">
        <v>2.39</v>
      </c>
      <c r="F3">
        <v>1.5</v>
      </c>
      <c r="G3">
        <v>0.77700000000000002</v>
      </c>
      <c r="H3">
        <v>10.266999999999999</v>
      </c>
      <c r="I3">
        <v>12.32</v>
      </c>
      <c r="J3">
        <f>I3+$I$7*100</f>
        <v>15.323002729754322</v>
      </c>
    </row>
    <row r="4" spans="1:10" x14ac:dyDescent="0.2">
      <c r="A4" s="757"/>
      <c r="B4" s="757"/>
      <c r="C4" t="s">
        <v>2582</v>
      </c>
      <c r="G4">
        <v>33</v>
      </c>
      <c r="H4">
        <v>33</v>
      </c>
      <c r="I4">
        <v>39.6</v>
      </c>
    </row>
    <row r="5" spans="1:10" x14ac:dyDescent="0.2">
      <c r="C5" s="295" t="s">
        <v>2588</v>
      </c>
      <c r="H5">
        <v>24.9</v>
      </c>
      <c r="I5">
        <f>H5*1.2</f>
        <v>29.879999999999995</v>
      </c>
    </row>
    <row r="6" spans="1:10" x14ac:dyDescent="0.2">
      <c r="I6">
        <f>SUM(I4:I5)</f>
        <v>69.47999999999999</v>
      </c>
    </row>
    <row r="7" spans="1:10" x14ac:dyDescent="0.2">
      <c r="I7">
        <f>I6/Eingabe!G21</f>
        <v>3.0030027297543217E-2</v>
      </c>
    </row>
  </sheetData>
  <mergeCells count="1">
    <mergeCell ref="A2:B4"/>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AJ63"/>
  <sheetViews>
    <sheetView topLeftCell="N1" workbookViewId="0">
      <selection activeCell="M11" sqref="M11:N12"/>
    </sheetView>
  </sheetViews>
  <sheetFormatPr baseColWidth="10" defaultColWidth="11.375" defaultRowHeight="12.9" x14ac:dyDescent="0.2"/>
  <cols>
    <col min="1" max="1" width="15.75" bestFit="1" customWidth="1"/>
    <col min="2" max="2" width="12.25" bestFit="1" customWidth="1"/>
    <col min="3" max="3" width="17.375" bestFit="1" customWidth="1"/>
    <col min="4" max="4" width="12.75" bestFit="1" customWidth="1"/>
    <col min="5" max="5" width="19.125" bestFit="1" customWidth="1"/>
    <col min="6" max="6" width="26.125" bestFit="1" customWidth="1"/>
    <col min="7" max="7" width="16.75" bestFit="1" customWidth="1"/>
    <col min="8" max="8" width="19" bestFit="1" customWidth="1"/>
    <col min="9" max="9" width="15.125" bestFit="1" customWidth="1"/>
    <col min="10" max="10" width="19.75" bestFit="1" customWidth="1"/>
    <col min="11" max="11" width="20.625" bestFit="1" customWidth="1"/>
    <col min="12" max="12" width="18.875" bestFit="1" customWidth="1"/>
    <col min="13" max="13" width="19" bestFit="1" customWidth="1"/>
    <col min="14" max="14" width="60.375" bestFit="1" customWidth="1"/>
    <col min="15" max="15" width="22.375" bestFit="1" customWidth="1"/>
    <col min="16" max="16" width="19.75" bestFit="1" customWidth="1"/>
    <col min="17" max="17" width="18.75" bestFit="1" customWidth="1"/>
    <col min="18" max="18" width="12.625" bestFit="1" customWidth="1"/>
    <col min="19" max="19" width="21" bestFit="1" customWidth="1"/>
    <col min="20" max="20" width="17.375" bestFit="1" customWidth="1"/>
    <col min="21" max="21" width="12.25" bestFit="1" customWidth="1"/>
    <col min="22" max="22" width="13.125" bestFit="1" customWidth="1"/>
    <col min="23" max="23" width="18.375" bestFit="1" customWidth="1"/>
    <col min="24" max="24" width="19.875" bestFit="1" customWidth="1"/>
    <col min="25" max="25" width="15.875" bestFit="1" customWidth="1"/>
    <col min="26" max="26" width="17.75" bestFit="1" customWidth="1"/>
    <col min="27" max="27" width="19" bestFit="1" customWidth="1"/>
    <col min="28" max="28" width="10.75" bestFit="1" customWidth="1"/>
    <col min="29" max="29" width="8.125" bestFit="1" customWidth="1"/>
    <col min="30" max="30" width="14.875" bestFit="1" customWidth="1"/>
    <col min="31" max="31" width="3.125" bestFit="1" customWidth="1"/>
    <col min="32" max="32" width="9.25" bestFit="1" customWidth="1"/>
    <col min="33" max="33" width="19" bestFit="1" customWidth="1"/>
    <col min="34" max="34" width="16.25" bestFit="1" customWidth="1"/>
    <col min="35" max="35" width="14" bestFit="1" customWidth="1"/>
    <col min="36" max="36" width="16.875" bestFit="1" customWidth="1"/>
  </cols>
  <sheetData>
    <row r="1" spans="1:35" x14ac:dyDescent="0.2">
      <c r="A1" s="304" t="s">
        <v>2499</v>
      </c>
      <c r="B1" s="304"/>
      <c r="C1" s="304" t="s">
        <v>2612</v>
      </c>
      <c r="D1" s="304"/>
      <c r="E1" s="304" t="s">
        <v>2635</v>
      </c>
      <c r="F1" s="304"/>
      <c r="G1" s="304" t="s">
        <v>2639</v>
      </c>
      <c r="H1" s="304"/>
      <c r="I1" s="304" t="s">
        <v>2547</v>
      </c>
      <c r="J1" s="304"/>
      <c r="K1" s="304" t="s">
        <v>2643</v>
      </c>
      <c r="L1" s="304"/>
      <c r="M1" s="304" t="s">
        <v>2646</v>
      </c>
      <c r="N1" s="304"/>
      <c r="O1" s="304"/>
      <c r="P1" s="304"/>
      <c r="Q1" s="304"/>
      <c r="R1" s="304" t="s">
        <v>2680</v>
      </c>
      <c r="S1" s="304" t="s">
        <v>2681</v>
      </c>
      <c r="T1" s="304"/>
      <c r="U1" s="304" t="s">
        <v>2687</v>
      </c>
      <c r="V1" s="304"/>
      <c r="W1" s="304"/>
      <c r="X1" s="304" t="s">
        <v>2694</v>
      </c>
      <c r="Y1" s="304" t="s">
        <v>2695</v>
      </c>
      <c r="Z1" s="304" t="s">
        <v>2696</v>
      </c>
      <c r="AA1" s="304" t="s">
        <v>2697</v>
      </c>
      <c r="AB1" s="304"/>
      <c r="AC1" s="304"/>
      <c r="AD1" s="304" t="s">
        <v>2703</v>
      </c>
      <c r="AE1" s="304" t="s">
        <v>2704</v>
      </c>
      <c r="AF1" s="304" t="s">
        <v>2705</v>
      </c>
      <c r="AG1" s="304" t="s">
        <v>2712</v>
      </c>
    </row>
    <row r="2" spans="1:35" x14ac:dyDescent="0.2">
      <c r="A2" s="304"/>
      <c r="B2" s="304"/>
      <c r="C2" s="304"/>
      <c r="D2" s="304"/>
      <c r="E2" s="304" t="s">
        <v>2636</v>
      </c>
      <c r="F2" s="304"/>
      <c r="G2" s="304" t="s">
        <v>2640</v>
      </c>
      <c r="H2" s="304"/>
      <c r="I2" s="304" t="s">
        <v>2641</v>
      </c>
      <c r="J2" s="304"/>
      <c r="K2" s="304" t="s">
        <v>2644</v>
      </c>
      <c r="L2" s="304"/>
      <c r="M2" s="304"/>
      <c r="N2" s="304"/>
      <c r="O2" s="304"/>
      <c r="P2" s="304"/>
      <c r="Q2" s="304"/>
      <c r="R2" s="304"/>
      <c r="S2" s="304"/>
      <c r="T2" s="304"/>
      <c r="U2" s="304"/>
      <c r="V2" s="304"/>
      <c r="W2" s="304"/>
      <c r="X2" s="304"/>
      <c r="Y2" s="304"/>
      <c r="Z2" s="304"/>
      <c r="AA2" s="304"/>
      <c r="AB2" s="304"/>
      <c r="AC2" s="304"/>
      <c r="AD2" s="304"/>
      <c r="AE2" s="304"/>
      <c r="AF2" s="304"/>
      <c r="AG2" s="304"/>
    </row>
    <row r="3" spans="1:35" x14ac:dyDescent="0.2">
      <c r="A3" t="s">
        <v>2604</v>
      </c>
      <c r="C3" t="s">
        <v>2613</v>
      </c>
      <c r="E3" s="302">
        <v>65740</v>
      </c>
      <c r="G3">
        <v>502</v>
      </c>
      <c r="I3">
        <v>18</v>
      </c>
      <c r="K3">
        <v>210</v>
      </c>
      <c r="M3" t="s">
        <v>2647</v>
      </c>
      <c r="N3" t="s">
        <v>2648</v>
      </c>
      <c r="O3" t="s">
        <v>2649</v>
      </c>
      <c r="P3" t="s">
        <v>2650</v>
      </c>
      <c r="Q3" t="s">
        <v>2651</v>
      </c>
      <c r="R3">
        <v>350</v>
      </c>
      <c r="S3">
        <v>600</v>
      </c>
      <c r="U3" t="s">
        <v>2688</v>
      </c>
      <c r="X3">
        <v>85</v>
      </c>
      <c r="Y3" t="s">
        <v>2637</v>
      </c>
      <c r="AA3" t="s">
        <v>2698</v>
      </c>
      <c r="AD3">
        <v>8</v>
      </c>
      <c r="AF3" t="s">
        <v>2706</v>
      </c>
      <c r="AG3" t="s">
        <v>2713</v>
      </c>
      <c r="AH3" t="s">
        <v>2714</v>
      </c>
      <c r="AI3" t="s">
        <v>2715</v>
      </c>
    </row>
    <row r="4" spans="1:35" x14ac:dyDescent="0.2">
      <c r="A4" t="s">
        <v>2604</v>
      </c>
      <c r="C4" t="s">
        <v>2614</v>
      </c>
      <c r="E4" s="302">
        <v>100000</v>
      </c>
      <c r="G4">
        <v>350</v>
      </c>
      <c r="I4" t="s">
        <v>2637</v>
      </c>
      <c r="K4">
        <v>200</v>
      </c>
      <c r="M4" t="s">
        <v>2652</v>
      </c>
      <c r="N4" t="s">
        <v>2653</v>
      </c>
      <c r="R4">
        <v>185</v>
      </c>
      <c r="S4" t="s">
        <v>2637</v>
      </c>
      <c r="U4" t="s">
        <v>2688</v>
      </c>
      <c r="X4" t="s">
        <v>2637</v>
      </c>
      <c r="Y4" t="s">
        <v>2637</v>
      </c>
      <c r="AA4" t="s">
        <v>2637</v>
      </c>
      <c r="AD4">
        <v>4</v>
      </c>
      <c r="AF4" t="s">
        <v>2707</v>
      </c>
    </row>
    <row r="5" spans="1:35" x14ac:dyDescent="0.2">
      <c r="A5" t="s">
        <v>2594</v>
      </c>
      <c r="C5" t="s">
        <v>2615</v>
      </c>
      <c r="E5" s="302">
        <v>20780</v>
      </c>
      <c r="G5">
        <v>210</v>
      </c>
      <c r="I5">
        <v>15</v>
      </c>
      <c r="K5">
        <v>135</v>
      </c>
      <c r="M5" t="s">
        <v>2654</v>
      </c>
      <c r="N5" t="s">
        <v>2655</v>
      </c>
      <c r="O5" t="s">
        <v>2656</v>
      </c>
      <c r="P5" t="s">
        <v>2657</v>
      </c>
      <c r="R5">
        <v>65</v>
      </c>
      <c r="S5">
        <v>220</v>
      </c>
      <c r="U5" t="s">
        <v>2688</v>
      </c>
      <c r="X5">
        <v>22</v>
      </c>
      <c r="Y5" t="s">
        <v>2637</v>
      </c>
      <c r="AA5" t="s">
        <v>2699</v>
      </c>
      <c r="AB5" t="s">
        <v>2700</v>
      </c>
      <c r="AC5" t="s">
        <v>2701</v>
      </c>
      <c r="AD5">
        <v>9</v>
      </c>
      <c r="AF5" t="s">
        <v>2706</v>
      </c>
      <c r="AG5" t="s">
        <v>2716</v>
      </c>
      <c r="AH5" t="s">
        <v>2717</v>
      </c>
      <c r="AI5" t="s">
        <v>2718</v>
      </c>
    </row>
    <row r="6" spans="1:35" x14ac:dyDescent="0.2">
      <c r="A6" t="s">
        <v>2605</v>
      </c>
      <c r="B6" t="s">
        <v>2606</v>
      </c>
      <c r="C6" t="s">
        <v>2616</v>
      </c>
      <c r="E6" s="302">
        <v>108000</v>
      </c>
      <c r="G6">
        <v>200</v>
      </c>
      <c r="I6" t="s">
        <v>2637</v>
      </c>
      <c r="K6">
        <v>90</v>
      </c>
      <c r="M6" t="s">
        <v>2658</v>
      </c>
      <c r="N6" t="s">
        <v>2659</v>
      </c>
      <c r="R6">
        <v>140</v>
      </c>
      <c r="S6" t="s">
        <v>2637</v>
      </c>
      <c r="U6" t="s">
        <v>2688</v>
      </c>
      <c r="X6">
        <v>62</v>
      </c>
      <c r="Y6" t="s">
        <v>2637</v>
      </c>
      <c r="AA6" t="s">
        <v>2637</v>
      </c>
      <c r="AD6">
        <v>8</v>
      </c>
      <c r="AF6" t="s">
        <v>2708</v>
      </c>
    </row>
    <row r="7" spans="1:35" x14ac:dyDescent="0.2">
      <c r="A7" t="s">
        <v>2597</v>
      </c>
      <c r="C7" t="s">
        <v>2617</v>
      </c>
      <c r="E7" s="302">
        <v>23390</v>
      </c>
      <c r="G7">
        <v>199</v>
      </c>
      <c r="I7">
        <v>15</v>
      </c>
      <c r="K7">
        <v>144</v>
      </c>
      <c r="M7" t="s">
        <v>2660</v>
      </c>
      <c r="R7">
        <v>90</v>
      </c>
      <c r="S7">
        <v>254</v>
      </c>
      <c r="U7" t="s">
        <v>2688</v>
      </c>
      <c r="X7">
        <v>24</v>
      </c>
      <c r="Y7" t="s">
        <v>2637</v>
      </c>
      <c r="AA7" t="s">
        <v>2699</v>
      </c>
      <c r="AB7" t="s">
        <v>2700</v>
      </c>
      <c r="AC7" t="s">
        <v>2701</v>
      </c>
      <c r="AD7">
        <v>8</v>
      </c>
      <c r="AF7" t="s">
        <v>2709</v>
      </c>
      <c r="AG7" t="s">
        <v>2716</v>
      </c>
      <c r="AH7" t="s">
        <v>2719</v>
      </c>
      <c r="AI7" t="s">
        <v>2720</v>
      </c>
    </row>
    <row r="8" spans="1:35" x14ac:dyDescent="0.2">
      <c r="A8" t="s">
        <v>2539</v>
      </c>
      <c r="C8" t="s">
        <v>2506</v>
      </c>
      <c r="E8" s="302">
        <v>35700</v>
      </c>
      <c r="G8">
        <v>190</v>
      </c>
      <c r="I8">
        <v>13</v>
      </c>
      <c r="K8">
        <v>150</v>
      </c>
      <c r="M8" t="s">
        <v>2661</v>
      </c>
      <c r="N8" t="s">
        <v>2662</v>
      </c>
      <c r="R8">
        <v>125</v>
      </c>
      <c r="S8">
        <v>250</v>
      </c>
      <c r="U8" t="s">
        <v>2688</v>
      </c>
      <c r="X8" t="s">
        <v>2637</v>
      </c>
      <c r="Y8" t="s">
        <v>2637</v>
      </c>
      <c r="AA8" t="s">
        <v>2637</v>
      </c>
      <c r="AD8">
        <v>6</v>
      </c>
      <c r="AF8" t="s">
        <v>2706</v>
      </c>
    </row>
    <row r="9" spans="1:35" x14ac:dyDescent="0.2">
      <c r="A9" t="s">
        <v>2594</v>
      </c>
      <c r="C9" t="s">
        <v>2618</v>
      </c>
      <c r="E9" s="302">
        <v>24360</v>
      </c>
      <c r="G9">
        <v>170</v>
      </c>
      <c r="I9">
        <v>16</v>
      </c>
      <c r="K9">
        <v>130</v>
      </c>
      <c r="M9" t="s">
        <v>2654</v>
      </c>
      <c r="N9" t="s">
        <v>2655</v>
      </c>
      <c r="R9">
        <v>44</v>
      </c>
      <c r="S9">
        <v>226</v>
      </c>
      <c r="U9" t="s">
        <v>2688</v>
      </c>
      <c r="X9">
        <v>22</v>
      </c>
      <c r="Y9" t="s">
        <v>2637</v>
      </c>
      <c r="AA9" t="s">
        <v>2699</v>
      </c>
      <c r="AB9" t="s">
        <v>2700</v>
      </c>
      <c r="AC9" t="s">
        <v>2701</v>
      </c>
      <c r="AD9">
        <v>9</v>
      </c>
      <c r="AF9" t="s">
        <v>2707</v>
      </c>
    </row>
    <row r="10" spans="1:35" x14ac:dyDescent="0.2">
      <c r="A10" t="s">
        <v>2596</v>
      </c>
      <c r="C10" t="s">
        <v>2619</v>
      </c>
      <c r="E10" s="302">
        <v>39990</v>
      </c>
      <c r="G10">
        <v>162</v>
      </c>
      <c r="I10">
        <v>15</v>
      </c>
      <c r="K10">
        <v>135</v>
      </c>
      <c r="M10" t="s">
        <v>2637</v>
      </c>
      <c r="R10">
        <v>107</v>
      </c>
      <c r="S10">
        <v>250</v>
      </c>
      <c r="U10" t="s">
        <v>2688</v>
      </c>
      <c r="X10">
        <v>23</v>
      </c>
      <c r="Y10" t="s">
        <v>2637</v>
      </c>
      <c r="AA10" t="s">
        <v>2698</v>
      </c>
      <c r="AD10">
        <v>7</v>
      </c>
      <c r="AF10" t="s">
        <v>2706</v>
      </c>
    </row>
    <row r="11" spans="1:35" x14ac:dyDescent="0.2">
      <c r="A11" t="s">
        <v>2540</v>
      </c>
      <c r="C11" t="s">
        <v>2620</v>
      </c>
      <c r="E11" s="302">
        <v>25350</v>
      </c>
      <c r="G11">
        <v>160</v>
      </c>
      <c r="I11">
        <v>12</v>
      </c>
      <c r="K11">
        <v>130</v>
      </c>
      <c r="M11" t="s">
        <v>2663</v>
      </c>
      <c r="N11" t="s">
        <v>2664</v>
      </c>
      <c r="O11" t="s">
        <v>2665</v>
      </c>
      <c r="R11">
        <v>60</v>
      </c>
      <c r="S11">
        <v>210</v>
      </c>
      <c r="U11" t="s">
        <v>2688</v>
      </c>
      <c r="X11">
        <v>19</v>
      </c>
      <c r="Y11" t="s">
        <v>2637</v>
      </c>
      <c r="AA11" t="s">
        <v>2698</v>
      </c>
      <c r="AD11">
        <v>7</v>
      </c>
      <c r="AF11" t="s">
        <v>2706</v>
      </c>
    </row>
    <row r="12" spans="1:35" x14ac:dyDescent="0.2">
      <c r="A12" t="s">
        <v>2593</v>
      </c>
      <c r="C12" t="s">
        <v>2621</v>
      </c>
      <c r="E12" s="302">
        <v>27588</v>
      </c>
      <c r="G12">
        <v>150</v>
      </c>
      <c r="I12" t="s">
        <v>2637</v>
      </c>
      <c r="K12">
        <v>130</v>
      </c>
      <c r="M12" t="s">
        <v>2666</v>
      </c>
      <c r="N12" t="s">
        <v>2667</v>
      </c>
      <c r="O12" t="s">
        <v>2668</v>
      </c>
      <c r="R12">
        <v>49</v>
      </c>
      <c r="S12">
        <v>180</v>
      </c>
      <c r="U12" t="s">
        <v>2688</v>
      </c>
      <c r="X12">
        <v>16</v>
      </c>
      <c r="Y12" t="s">
        <v>2637</v>
      </c>
      <c r="AA12" t="s">
        <v>2637</v>
      </c>
      <c r="AD12">
        <v>6</v>
      </c>
      <c r="AF12">
        <v>330</v>
      </c>
      <c r="AG12" t="s">
        <v>2716</v>
      </c>
      <c r="AH12" t="s">
        <v>2721</v>
      </c>
      <c r="AI12" t="s">
        <v>2722</v>
      </c>
    </row>
    <row r="13" spans="1:35" x14ac:dyDescent="0.2">
      <c r="A13" t="s">
        <v>2599</v>
      </c>
      <c r="C13" t="s">
        <v>2622</v>
      </c>
      <c r="E13" s="302">
        <v>29500</v>
      </c>
      <c r="G13">
        <v>150</v>
      </c>
      <c r="I13" t="s">
        <v>2637</v>
      </c>
      <c r="K13">
        <v>130</v>
      </c>
      <c r="M13" t="s">
        <v>2666</v>
      </c>
      <c r="N13" t="s">
        <v>2669</v>
      </c>
      <c r="O13" t="s">
        <v>2655</v>
      </c>
      <c r="R13">
        <v>49</v>
      </c>
      <c r="S13">
        <v>180</v>
      </c>
      <c r="U13" t="s">
        <v>2688</v>
      </c>
      <c r="X13">
        <v>16</v>
      </c>
      <c r="Y13" t="s">
        <v>2637</v>
      </c>
      <c r="AA13" t="s">
        <v>2637</v>
      </c>
      <c r="AD13">
        <v>8</v>
      </c>
      <c r="AF13" t="s">
        <v>2709</v>
      </c>
    </row>
    <row r="14" spans="1:35" x14ac:dyDescent="0.2">
      <c r="A14" t="s">
        <v>2591</v>
      </c>
      <c r="C14" t="s">
        <v>2623</v>
      </c>
      <c r="E14" s="302">
        <v>31800</v>
      </c>
      <c r="G14">
        <v>150</v>
      </c>
      <c r="I14">
        <v>14</v>
      </c>
      <c r="K14">
        <v>130</v>
      </c>
      <c r="M14" t="s">
        <v>2670</v>
      </c>
      <c r="N14" t="s">
        <v>2660</v>
      </c>
      <c r="R14">
        <v>49</v>
      </c>
      <c r="S14">
        <v>180</v>
      </c>
      <c r="U14" t="s">
        <v>2688</v>
      </c>
      <c r="X14">
        <v>16</v>
      </c>
      <c r="Y14" t="s">
        <v>2637</v>
      </c>
      <c r="AA14" t="s">
        <v>2700</v>
      </c>
      <c r="AB14" t="s">
        <v>2702</v>
      </c>
      <c r="AD14">
        <v>9</v>
      </c>
      <c r="AF14" t="s">
        <v>2707</v>
      </c>
    </row>
    <row r="15" spans="1:35" x14ac:dyDescent="0.2">
      <c r="A15" t="s">
        <v>2603</v>
      </c>
      <c r="C15" t="s">
        <v>2624</v>
      </c>
      <c r="D15" t="s">
        <v>2625</v>
      </c>
      <c r="E15" s="302">
        <v>19420</v>
      </c>
      <c r="G15">
        <v>145</v>
      </c>
      <c r="I15">
        <v>15</v>
      </c>
      <c r="K15">
        <v>125</v>
      </c>
      <c r="M15" t="s">
        <v>2671</v>
      </c>
      <c r="N15" t="s">
        <v>2666</v>
      </c>
      <c r="O15" t="s">
        <v>2672</v>
      </c>
      <c r="R15">
        <v>55</v>
      </c>
      <c r="S15">
        <v>130</v>
      </c>
      <c r="U15" t="s">
        <v>2688</v>
      </c>
      <c r="X15" t="s">
        <v>2637</v>
      </c>
      <c r="Y15" t="s">
        <v>2637</v>
      </c>
      <c r="AA15" t="s">
        <v>2637</v>
      </c>
      <c r="AD15">
        <v>7</v>
      </c>
      <c r="AF15" t="s">
        <v>2707</v>
      </c>
    </row>
    <row r="16" spans="1:35" x14ac:dyDescent="0.2">
      <c r="A16" t="s">
        <v>2603</v>
      </c>
      <c r="C16" t="s">
        <v>2626</v>
      </c>
      <c r="E16" t="s">
        <v>2637</v>
      </c>
      <c r="G16">
        <v>145</v>
      </c>
      <c r="I16">
        <v>18</v>
      </c>
      <c r="K16">
        <v>130</v>
      </c>
      <c r="M16" t="s">
        <v>2673</v>
      </c>
      <c r="N16" t="s">
        <v>2674</v>
      </c>
      <c r="R16">
        <v>60</v>
      </c>
      <c r="S16">
        <v>135</v>
      </c>
      <c r="U16" t="s">
        <v>2688</v>
      </c>
      <c r="X16" t="s">
        <v>2637</v>
      </c>
      <c r="Y16" t="s">
        <v>2637</v>
      </c>
      <c r="AA16" t="s">
        <v>2637</v>
      </c>
      <c r="AD16">
        <v>7</v>
      </c>
      <c r="AF16" t="s">
        <v>2707</v>
      </c>
    </row>
    <row r="17" spans="1:36" x14ac:dyDescent="0.2">
      <c r="A17" t="s">
        <v>2607</v>
      </c>
      <c r="C17" t="s">
        <v>2627</v>
      </c>
      <c r="E17" s="302">
        <v>22560</v>
      </c>
      <c r="G17">
        <v>140</v>
      </c>
      <c r="I17">
        <v>9.1999999999999993</v>
      </c>
      <c r="K17">
        <v>100</v>
      </c>
      <c r="M17" t="s">
        <v>2675</v>
      </c>
      <c r="N17" t="s">
        <v>2676</v>
      </c>
      <c r="R17">
        <v>15</v>
      </c>
      <c r="S17">
        <v>150</v>
      </c>
      <c r="U17" t="s">
        <v>2689</v>
      </c>
      <c r="X17">
        <v>12.8</v>
      </c>
      <c r="Y17" t="s">
        <v>2637</v>
      </c>
      <c r="AA17" t="s">
        <v>2637</v>
      </c>
      <c r="AD17">
        <v>9</v>
      </c>
      <c r="AF17">
        <v>150</v>
      </c>
      <c r="AG17" t="s">
        <v>2716</v>
      </c>
      <c r="AH17" t="s">
        <v>2723</v>
      </c>
      <c r="AI17" t="s">
        <v>2724</v>
      </c>
      <c r="AJ17" t="s">
        <v>2725</v>
      </c>
    </row>
    <row r="18" spans="1:36" x14ac:dyDescent="0.2">
      <c r="A18" t="s">
        <v>2608</v>
      </c>
      <c r="C18" t="s">
        <v>2628</v>
      </c>
      <c r="E18" t="s">
        <v>2637</v>
      </c>
      <c r="G18">
        <v>110</v>
      </c>
      <c r="I18" t="s">
        <v>2637</v>
      </c>
      <c r="K18">
        <v>90</v>
      </c>
      <c r="M18" t="s">
        <v>2637</v>
      </c>
      <c r="R18">
        <v>20</v>
      </c>
      <c r="S18" t="s">
        <v>2637</v>
      </c>
      <c r="U18" t="s">
        <v>2690</v>
      </c>
      <c r="X18" t="s">
        <v>2637</v>
      </c>
      <c r="Y18" t="s">
        <v>2637</v>
      </c>
      <c r="AA18" t="s">
        <v>2637</v>
      </c>
      <c r="AD18">
        <v>8</v>
      </c>
      <c r="AF18" t="s">
        <v>2706</v>
      </c>
    </row>
    <row r="19" spans="1:36" x14ac:dyDescent="0.2">
      <c r="A19" t="s">
        <v>2594</v>
      </c>
      <c r="C19" t="s">
        <v>2629</v>
      </c>
      <c r="E19" s="302">
        <v>6990</v>
      </c>
      <c r="G19">
        <v>100</v>
      </c>
      <c r="I19" t="s">
        <v>2642</v>
      </c>
      <c r="K19" t="s">
        <v>2645</v>
      </c>
      <c r="M19" t="s">
        <v>2677</v>
      </c>
      <c r="N19" t="s">
        <v>2656</v>
      </c>
      <c r="O19" t="s">
        <v>2657</v>
      </c>
      <c r="R19">
        <v>3</v>
      </c>
      <c r="S19" t="s">
        <v>2682</v>
      </c>
      <c r="U19" t="s">
        <v>2688</v>
      </c>
      <c r="X19">
        <v>6</v>
      </c>
      <c r="Y19" t="s">
        <v>2637</v>
      </c>
      <c r="AA19" t="s">
        <v>2699</v>
      </c>
      <c r="AB19" t="s">
        <v>2700</v>
      </c>
      <c r="AC19" t="s">
        <v>2701</v>
      </c>
      <c r="AD19">
        <v>4</v>
      </c>
      <c r="AF19" t="s">
        <v>2707</v>
      </c>
      <c r="AG19" t="s">
        <v>2716</v>
      </c>
      <c r="AH19" t="s">
        <v>2726</v>
      </c>
    </row>
    <row r="20" spans="1:36" x14ac:dyDescent="0.2">
      <c r="A20" t="s">
        <v>2608</v>
      </c>
      <c r="C20" t="s">
        <v>2630</v>
      </c>
      <c r="E20" t="s">
        <v>2637</v>
      </c>
      <c r="G20">
        <v>90</v>
      </c>
      <c r="I20" t="s">
        <v>2637</v>
      </c>
      <c r="K20">
        <v>90</v>
      </c>
      <c r="M20" t="s">
        <v>2637</v>
      </c>
      <c r="R20">
        <v>20</v>
      </c>
      <c r="S20" t="s">
        <v>2637</v>
      </c>
      <c r="U20" t="s">
        <v>2690</v>
      </c>
      <c r="X20" t="s">
        <v>2637</v>
      </c>
      <c r="Y20" t="s">
        <v>2637</v>
      </c>
      <c r="AA20" t="s">
        <v>2637</v>
      </c>
      <c r="AD20">
        <v>8</v>
      </c>
      <c r="AF20" t="s">
        <v>2709</v>
      </c>
      <c r="AG20" t="s">
        <v>2727</v>
      </c>
      <c r="AH20" t="s">
        <v>2728</v>
      </c>
    </row>
    <row r="21" spans="1:36" x14ac:dyDescent="0.2">
      <c r="A21" t="s">
        <v>2609</v>
      </c>
      <c r="C21" t="s">
        <v>2631</v>
      </c>
      <c r="E21" t="s">
        <v>2638</v>
      </c>
      <c r="G21">
        <v>90</v>
      </c>
      <c r="I21" t="s">
        <v>2637</v>
      </c>
      <c r="K21">
        <v>43</v>
      </c>
      <c r="M21" t="s">
        <v>2637</v>
      </c>
      <c r="R21">
        <v>3</v>
      </c>
      <c r="S21" t="s">
        <v>2637</v>
      </c>
      <c r="U21" t="s">
        <v>2637</v>
      </c>
      <c r="X21" t="s">
        <v>2637</v>
      </c>
      <c r="Y21" t="s">
        <v>2637</v>
      </c>
      <c r="AA21" t="s">
        <v>2637</v>
      </c>
      <c r="AD21">
        <v>8</v>
      </c>
      <c r="AF21" t="s">
        <v>2707</v>
      </c>
      <c r="AG21" t="s">
        <v>2729</v>
      </c>
      <c r="AH21" t="s">
        <v>2730</v>
      </c>
    </row>
    <row r="22" spans="1:36" x14ac:dyDescent="0.2">
      <c r="A22" t="s">
        <v>2592</v>
      </c>
      <c r="C22" t="s">
        <v>2632</v>
      </c>
      <c r="E22" s="302">
        <v>38400</v>
      </c>
      <c r="G22">
        <v>83</v>
      </c>
      <c r="I22">
        <v>19</v>
      </c>
      <c r="K22">
        <v>161</v>
      </c>
      <c r="M22" t="s">
        <v>2660</v>
      </c>
      <c r="R22">
        <v>111</v>
      </c>
      <c r="S22">
        <v>130</v>
      </c>
      <c r="U22" t="s">
        <v>2688</v>
      </c>
      <c r="X22">
        <v>16</v>
      </c>
      <c r="Y22" t="s">
        <v>2637</v>
      </c>
      <c r="AA22" t="s">
        <v>2698</v>
      </c>
      <c r="AD22">
        <v>6</v>
      </c>
      <c r="AF22" t="s">
        <v>2706</v>
      </c>
      <c r="AG22" t="s">
        <v>2731</v>
      </c>
      <c r="AH22" t="s">
        <v>2732</v>
      </c>
      <c r="AI22" t="s">
        <v>2733</v>
      </c>
      <c r="AJ22" t="s">
        <v>2734</v>
      </c>
    </row>
    <row r="23" spans="1:36" x14ac:dyDescent="0.2">
      <c r="A23" t="s">
        <v>2600</v>
      </c>
      <c r="C23" t="s">
        <v>2633</v>
      </c>
      <c r="E23" s="302">
        <v>38000</v>
      </c>
      <c r="G23">
        <v>80</v>
      </c>
      <c r="I23">
        <v>17</v>
      </c>
      <c r="K23">
        <v>160</v>
      </c>
      <c r="M23" t="s">
        <v>2660</v>
      </c>
      <c r="R23">
        <v>111</v>
      </c>
      <c r="S23">
        <v>130</v>
      </c>
      <c r="U23" t="s">
        <v>2688</v>
      </c>
      <c r="X23">
        <v>16</v>
      </c>
      <c r="Y23" t="s">
        <v>2637</v>
      </c>
      <c r="AA23" t="s">
        <v>2698</v>
      </c>
      <c r="AD23">
        <v>6</v>
      </c>
      <c r="AF23" t="s">
        <v>2706</v>
      </c>
      <c r="AG23" t="s">
        <v>2731</v>
      </c>
      <c r="AH23" t="s">
        <v>2732</v>
      </c>
      <c r="AI23" t="s">
        <v>2733</v>
      </c>
      <c r="AJ23" t="s">
        <v>2734</v>
      </c>
    </row>
    <row r="24" spans="1:36" x14ac:dyDescent="0.2">
      <c r="A24" t="s">
        <v>2610</v>
      </c>
      <c r="C24" t="s">
        <v>2610</v>
      </c>
      <c r="E24" s="302">
        <v>8868</v>
      </c>
      <c r="G24">
        <v>50</v>
      </c>
      <c r="I24" t="s">
        <v>2637</v>
      </c>
      <c r="K24">
        <v>45</v>
      </c>
      <c r="M24" t="s">
        <v>2637</v>
      </c>
      <c r="R24">
        <v>4</v>
      </c>
      <c r="S24" t="s">
        <v>2637</v>
      </c>
      <c r="U24" t="s">
        <v>2690</v>
      </c>
      <c r="X24" t="s">
        <v>2637</v>
      </c>
      <c r="Y24" t="s">
        <v>2637</v>
      </c>
      <c r="AA24" t="s">
        <v>2637</v>
      </c>
      <c r="AD24" t="s">
        <v>2637</v>
      </c>
      <c r="AF24" t="s">
        <v>2707</v>
      </c>
    </row>
    <row r="25" spans="1:36" x14ac:dyDescent="0.2">
      <c r="A25" t="s">
        <v>2611</v>
      </c>
      <c r="C25" t="s">
        <v>2611</v>
      </c>
      <c r="E25" s="302">
        <v>8300</v>
      </c>
      <c r="G25">
        <v>50</v>
      </c>
      <c r="I25">
        <v>13</v>
      </c>
      <c r="K25">
        <v>45</v>
      </c>
      <c r="M25" t="s">
        <v>2678</v>
      </c>
      <c r="R25">
        <v>4</v>
      </c>
      <c r="S25" t="s">
        <v>2683</v>
      </c>
      <c r="T25" t="s">
        <v>2684</v>
      </c>
      <c r="U25" t="s">
        <v>2691</v>
      </c>
      <c r="V25" t="s">
        <v>2692</v>
      </c>
      <c r="W25" t="s">
        <v>2693</v>
      </c>
      <c r="X25" t="s">
        <v>2637</v>
      </c>
      <c r="Y25" t="s">
        <v>2637</v>
      </c>
      <c r="AA25" t="s">
        <v>2698</v>
      </c>
      <c r="AD25">
        <v>7</v>
      </c>
      <c r="AF25" t="s">
        <v>2710</v>
      </c>
    </row>
    <row r="26" spans="1:36" x14ac:dyDescent="0.2">
      <c r="A26" t="s">
        <v>2599</v>
      </c>
      <c r="C26" t="s">
        <v>2634</v>
      </c>
      <c r="E26" t="s">
        <v>2637</v>
      </c>
      <c r="G26">
        <v>50</v>
      </c>
      <c r="I26" t="s">
        <v>2637</v>
      </c>
      <c r="K26" t="s">
        <v>2637</v>
      </c>
      <c r="M26" t="s">
        <v>2679</v>
      </c>
      <c r="N26" t="s">
        <v>2669</v>
      </c>
      <c r="O26" t="s">
        <v>2655</v>
      </c>
      <c r="R26">
        <v>70</v>
      </c>
      <c r="S26" t="s">
        <v>2685</v>
      </c>
      <c r="T26" t="s">
        <v>2686</v>
      </c>
      <c r="U26" t="s">
        <v>2688</v>
      </c>
      <c r="X26">
        <v>12</v>
      </c>
      <c r="Y26" t="s">
        <v>2637</v>
      </c>
      <c r="AA26" t="s">
        <v>2698</v>
      </c>
      <c r="AD26">
        <v>4</v>
      </c>
      <c r="AF26" t="s">
        <v>2706</v>
      </c>
      <c r="AG26" t="s">
        <v>2735</v>
      </c>
      <c r="AH26" t="s">
        <v>2736</v>
      </c>
      <c r="AI26" t="s">
        <v>2737</v>
      </c>
      <c r="AJ26" t="s">
        <v>2738</v>
      </c>
    </row>
    <row r="33" spans="7:26" x14ac:dyDescent="0.2">
      <c r="H33" s="303"/>
    </row>
    <row r="43" spans="7:26" x14ac:dyDescent="0.2">
      <c r="Z43" t="s">
        <v>2747</v>
      </c>
    </row>
    <row r="44" spans="7:26" x14ac:dyDescent="0.2">
      <c r="Z44" t="s">
        <v>2748</v>
      </c>
    </row>
    <row r="45" spans="7:26" x14ac:dyDescent="0.2">
      <c r="Z45" t="s">
        <v>2637</v>
      </c>
    </row>
    <row r="47" spans="7:26" x14ac:dyDescent="0.2">
      <c r="G47" s="302"/>
      <c r="H47" s="302"/>
      <c r="I47" s="302"/>
      <c r="J47" s="302"/>
      <c r="K47" s="302"/>
      <c r="L47" s="302"/>
      <c r="M47" s="302"/>
      <c r="N47" s="302"/>
      <c r="O47" s="302"/>
      <c r="P47" s="302"/>
      <c r="Q47" s="302"/>
      <c r="R47" s="302"/>
      <c r="S47" s="302"/>
      <c r="T47" s="302"/>
      <c r="U47" s="302"/>
      <c r="V47" s="302"/>
      <c r="W47" s="302"/>
      <c r="X47" s="302"/>
      <c r="Y47" s="302"/>
      <c r="Z47" t="s">
        <v>2637</v>
      </c>
    </row>
    <row r="50" spans="4:26" x14ac:dyDescent="0.2">
      <c r="Z50">
        <v>7.3</v>
      </c>
    </row>
    <row r="52" spans="4:26" x14ac:dyDescent="0.2">
      <c r="Z52">
        <v>171</v>
      </c>
    </row>
    <row r="54" spans="4:26" x14ac:dyDescent="0.2">
      <c r="Z54">
        <v>5</v>
      </c>
    </row>
    <row r="55" spans="4:26" x14ac:dyDescent="0.2">
      <c r="Z55">
        <v>5</v>
      </c>
    </row>
    <row r="56" spans="4:26" x14ac:dyDescent="0.2">
      <c r="Z56">
        <v>110</v>
      </c>
    </row>
    <row r="58" spans="4:26" x14ac:dyDescent="0.2">
      <c r="Z58">
        <v>150</v>
      </c>
    </row>
    <row r="60" spans="4:26" x14ac:dyDescent="0.2">
      <c r="Z60" t="s">
        <v>2762</v>
      </c>
    </row>
    <row r="61" spans="4:26" x14ac:dyDescent="0.2">
      <c r="G61" s="302"/>
      <c r="H61" s="302"/>
      <c r="I61" s="302"/>
      <c r="J61" s="302"/>
      <c r="K61" s="302"/>
      <c r="L61" s="302"/>
      <c r="M61" s="302"/>
      <c r="N61" s="302"/>
      <c r="O61" s="302"/>
      <c r="P61" s="302"/>
      <c r="Q61" s="302"/>
      <c r="R61" s="302"/>
      <c r="S61" s="302"/>
      <c r="T61" s="302"/>
      <c r="U61" s="302"/>
      <c r="V61" s="302"/>
      <c r="W61" s="302"/>
      <c r="X61" s="302"/>
      <c r="Y61" s="302"/>
      <c r="Z61" t="s">
        <v>2637</v>
      </c>
    </row>
    <row r="62" spans="4:26" x14ac:dyDescent="0.2">
      <c r="D62" s="303"/>
      <c r="G62" s="302"/>
      <c r="H62" s="302"/>
      <c r="I62" s="302"/>
      <c r="J62" s="302"/>
      <c r="K62" s="302"/>
      <c r="L62" s="302"/>
      <c r="M62" s="302"/>
      <c r="N62" s="302"/>
      <c r="O62" s="302"/>
      <c r="P62" s="302"/>
      <c r="Q62" s="302"/>
      <c r="R62" s="302"/>
      <c r="S62" s="302"/>
      <c r="T62" s="302"/>
      <c r="U62" s="302"/>
      <c r="V62" s="302"/>
      <c r="W62" s="302"/>
      <c r="X62" s="302"/>
      <c r="Y62" s="302"/>
      <c r="Z62" t="s">
        <v>2637</v>
      </c>
    </row>
    <row r="63" spans="4:26" x14ac:dyDescent="0.2">
      <c r="G63" s="302"/>
      <c r="H63" s="302"/>
      <c r="I63" s="302"/>
      <c r="J63" s="302"/>
      <c r="K63" s="302"/>
      <c r="L63" s="302"/>
      <c r="M63" s="302"/>
      <c r="N63" s="302"/>
      <c r="O63" s="302"/>
      <c r="P63" s="302"/>
      <c r="Q63" s="302"/>
      <c r="R63" s="302"/>
      <c r="S63" s="302"/>
      <c r="T63" s="302"/>
      <c r="U63" s="302"/>
      <c r="V63" s="302"/>
      <c r="W63" s="302"/>
      <c r="X63" s="302"/>
      <c r="Y63" s="302"/>
      <c r="Z63" t="s">
        <v>2637</v>
      </c>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CY182"/>
  <sheetViews>
    <sheetView workbookViewId="0">
      <selection activeCell="F2" sqref="F2:F182"/>
    </sheetView>
  </sheetViews>
  <sheetFormatPr baseColWidth="10" defaultColWidth="11.375" defaultRowHeight="12.9" x14ac:dyDescent="0.2"/>
  <cols>
    <col min="1" max="1" width="14.375" style="304" bestFit="1" customWidth="1"/>
    <col min="2" max="2" width="16.625" style="304" bestFit="1" customWidth="1"/>
    <col min="3" max="3" width="6.75" style="304" bestFit="1" customWidth="1"/>
    <col min="4" max="4" width="21.25" style="304" bestFit="1" customWidth="1"/>
    <col min="5" max="5" width="18" style="304" bestFit="1" customWidth="1"/>
    <col min="6" max="6" width="11.75" style="304" bestFit="1" customWidth="1"/>
    <col min="7" max="7" width="15.75" style="304" bestFit="1" customWidth="1"/>
    <col min="8" max="8" width="18.625" style="304" bestFit="1" customWidth="1"/>
    <col min="9" max="9" width="11.125" style="304" bestFit="1" customWidth="1"/>
    <col min="10" max="10" width="14.875" style="304" bestFit="1" customWidth="1"/>
    <col min="11" max="11" width="15" style="304" bestFit="1" customWidth="1"/>
    <col min="12" max="12" width="6.25" style="304" bestFit="1" customWidth="1"/>
    <col min="13" max="13" width="13.625" style="304" bestFit="1" customWidth="1"/>
    <col min="14" max="14" width="9.25" style="304" bestFit="1" customWidth="1"/>
    <col min="15" max="15" width="8" style="304" bestFit="1" customWidth="1"/>
    <col min="16" max="16" width="5" style="304" bestFit="1" customWidth="1"/>
    <col min="17" max="17" width="8" style="304" bestFit="1" customWidth="1"/>
    <col min="18" max="18" width="4.75" style="304" bestFit="1" customWidth="1"/>
    <col min="19" max="19" width="8" style="304" bestFit="1" customWidth="1"/>
    <col min="20" max="20" width="10.875" style="304" bestFit="1" customWidth="1"/>
    <col min="21" max="21" width="26.125" style="304" bestFit="1" customWidth="1"/>
    <col min="22" max="22" width="25.25" style="304" bestFit="1" customWidth="1"/>
    <col min="23" max="23" width="22.375" style="304" bestFit="1" customWidth="1"/>
    <col min="24" max="24" width="24" style="304" bestFit="1" customWidth="1"/>
    <col min="25" max="25" width="25.875" style="304" bestFit="1" customWidth="1"/>
    <col min="26" max="26" width="23.625" style="304" bestFit="1" customWidth="1"/>
    <col min="27" max="27" width="17" style="304" bestFit="1" customWidth="1"/>
    <col min="28" max="28" width="23.625" style="304" bestFit="1" customWidth="1"/>
    <col min="29" max="29" width="20.125" style="304" bestFit="1" customWidth="1"/>
    <col min="30" max="30" width="22.875" style="304" bestFit="1" customWidth="1"/>
    <col min="31" max="31" width="14.625" style="304" bestFit="1" customWidth="1"/>
    <col min="32" max="32" width="16.625" style="304" bestFit="1" customWidth="1"/>
    <col min="33" max="33" width="14.625" style="304" bestFit="1" customWidth="1"/>
    <col min="34" max="34" width="23" style="304" bestFit="1" customWidth="1"/>
    <col min="35" max="16384" width="11.375" style="304"/>
  </cols>
  <sheetData>
    <row r="1" spans="1:36" ht="12.75" x14ac:dyDescent="0.2">
      <c r="A1" s="309" t="s">
        <v>2537</v>
      </c>
      <c r="B1" s="304" t="s">
        <v>2495</v>
      </c>
      <c r="D1" s="304" t="s">
        <v>2749</v>
      </c>
      <c r="F1" s="304" t="s">
        <v>2756</v>
      </c>
      <c r="G1" s="304" t="s">
        <v>2757</v>
      </c>
      <c r="H1" s="304" t="s">
        <v>2758</v>
      </c>
      <c r="I1" s="309" t="s">
        <v>2497</v>
      </c>
      <c r="J1" s="309" t="s">
        <v>2833</v>
      </c>
      <c r="K1" s="304" t="s">
        <v>2759</v>
      </c>
      <c r="L1" s="304" t="s">
        <v>2505</v>
      </c>
      <c r="M1" s="304" t="s">
        <v>2760</v>
      </c>
      <c r="N1" s="304" t="s">
        <v>2705</v>
      </c>
      <c r="O1" s="304" t="s">
        <v>2496</v>
      </c>
      <c r="P1" s="304" t="s">
        <v>2501</v>
      </c>
      <c r="Q1" s="304" t="s">
        <v>2496</v>
      </c>
      <c r="R1" s="304" t="s">
        <v>2557</v>
      </c>
      <c r="S1" s="304" t="s">
        <v>2761</v>
      </c>
      <c r="T1" s="304" t="s">
        <v>2711</v>
      </c>
      <c r="U1" s="304" t="s">
        <v>2763</v>
      </c>
      <c r="V1" s="304" t="s">
        <v>2764</v>
      </c>
      <c r="W1" s="304" t="s">
        <v>2765</v>
      </c>
      <c r="X1" s="304" t="s">
        <v>2766</v>
      </c>
      <c r="Y1" s="304" t="s">
        <v>2767</v>
      </c>
      <c r="AB1" s="304" t="s">
        <v>2775</v>
      </c>
    </row>
    <row r="2" spans="1:36" x14ac:dyDescent="0.2">
      <c r="A2" s="672" t="s">
        <v>2993</v>
      </c>
      <c r="B2" s="672" t="s">
        <v>3135</v>
      </c>
      <c r="C2" s="672" t="s">
        <v>3568</v>
      </c>
      <c r="D2" s="672"/>
      <c r="E2" s="672"/>
      <c r="F2" s="763">
        <v>21780</v>
      </c>
      <c r="G2" s="672"/>
      <c r="H2" s="672"/>
      <c r="I2" s="672">
        <v>5.6</v>
      </c>
      <c r="J2" s="672" t="s">
        <v>2500</v>
      </c>
      <c r="K2" s="672">
        <v>126</v>
      </c>
      <c r="L2" s="672"/>
      <c r="M2" s="672" t="s">
        <v>3140</v>
      </c>
      <c r="N2" s="672">
        <v>4</v>
      </c>
      <c r="O2" s="672">
        <v>70</v>
      </c>
      <c r="P2" s="672"/>
      <c r="Q2" s="672">
        <v>95</v>
      </c>
      <c r="R2" s="672"/>
      <c r="S2" s="672" t="s">
        <v>2762</v>
      </c>
      <c r="T2" s="758">
        <v>3954</v>
      </c>
      <c r="U2" s="758">
        <v>1906</v>
      </c>
      <c r="V2" s="758">
        <v>1416</v>
      </c>
      <c r="W2" s="758">
        <v>1110</v>
      </c>
      <c r="X2" s="672" t="s">
        <v>3582</v>
      </c>
      <c r="Y2" s="672" t="s">
        <v>3583</v>
      </c>
      <c r="Z2" s="672"/>
      <c r="AA2" s="672" t="s">
        <v>3157</v>
      </c>
      <c r="AB2" s="672" t="s">
        <v>3158</v>
      </c>
      <c r="AC2" s="672"/>
      <c r="AD2" s="672"/>
      <c r="AE2" s="308" t="s">
        <v>3158</v>
      </c>
      <c r="AF2" s="308"/>
      <c r="AG2" s="308"/>
      <c r="AH2" s="308"/>
    </row>
    <row r="3" spans="1:36" x14ac:dyDescent="0.2">
      <c r="A3" s="672" t="s">
        <v>2993</v>
      </c>
      <c r="B3" s="672" t="s">
        <v>3764</v>
      </c>
      <c r="C3" s="672" t="s">
        <v>3769</v>
      </c>
      <c r="D3" s="672"/>
      <c r="E3" s="672"/>
      <c r="F3" s="763">
        <v>29600</v>
      </c>
      <c r="G3" s="672"/>
      <c r="H3" s="672"/>
      <c r="I3" s="672">
        <v>4.4000000000000004</v>
      </c>
      <c r="J3" s="759" t="s">
        <v>2500</v>
      </c>
      <c r="K3" s="672">
        <v>114</v>
      </c>
      <c r="L3" s="672"/>
      <c r="M3" s="672" t="s">
        <v>3140</v>
      </c>
      <c r="N3" s="672">
        <v>5</v>
      </c>
      <c r="O3" s="672">
        <v>85</v>
      </c>
      <c r="P3" s="672"/>
      <c r="Q3" s="672">
        <v>115</v>
      </c>
      <c r="R3" s="672"/>
      <c r="S3" s="672" t="s">
        <v>2785</v>
      </c>
      <c r="T3" s="758">
        <v>4313</v>
      </c>
      <c r="U3" s="758">
        <v>1785</v>
      </c>
      <c r="V3" s="758">
        <v>1426</v>
      </c>
      <c r="W3" s="758">
        <v>1360</v>
      </c>
      <c r="X3" s="672" t="s">
        <v>3775</v>
      </c>
      <c r="Y3" s="672" t="s">
        <v>3776</v>
      </c>
      <c r="Z3" s="672"/>
      <c r="AA3" s="672"/>
      <c r="AB3" s="672" t="s">
        <v>3794</v>
      </c>
      <c r="AC3" s="672"/>
      <c r="AD3" s="672"/>
      <c r="AI3" s="304" t="s">
        <v>3079</v>
      </c>
      <c r="AJ3" s="304" t="s">
        <v>2781</v>
      </c>
    </row>
    <row r="4" spans="1:36" x14ac:dyDescent="0.2">
      <c r="A4" s="672" t="s">
        <v>2993</v>
      </c>
      <c r="B4" s="672" t="s">
        <v>3804</v>
      </c>
      <c r="C4" s="672" t="s">
        <v>3769</v>
      </c>
      <c r="D4" s="672"/>
      <c r="E4" s="672"/>
      <c r="F4" s="763">
        <v>36970</v>
      </c>
      <c r="G4" s="672"/>
      <c r="H4" s="672"/>
      <c r="I4" s="672">
        <v>4.9000000000000004</v>
      </c>
      <c r="J4" s="759" t="s">
        <v>2500</v>
      </c>
      <c r="K4" s="672">
        <v>128</v>
      </c>
      <c r="L4" s="672"/>
      <c r="M4" s="672" t="s">
        <v>3140</v>
      </c>
      <c r="N4" s="672">
        <v>5</v>
      </c>
      <c r="O4" s="672">
        <v>90</v>
      </c>
      <c r="P4" s="672"/>
      <c r="Q4" s="672">
        <v>122</v>
      </c>
      <c r="R4" s="672"/>
      <c r="S4" s="672" t="s">
        <v>2785</v>
      </c>
      <c r="T4" s="758">
        <v>4762</v>
      </c>
      <c r="U4" s="758">
        <v>2022</v>
      </c>
      <c r="V4" s="758">
        <v>1428</v>
      </c>
      <c r="W4" s="758">
        <v>1540</v>
      </c>
      <c r="X4" s="672" t="s">
        <v>3775</v>
      </c>
      <c r="Y4" s="672" t="s">
        <v>3830</v>
      </c>
      <c r="Z4" s="672" t="s">
        <v>3831</v>
      </c>
      <c r="AA4" s="672" t="s">
        <v>3832</v>
      </c>
      <c r="AB4" s="672" t="s">
        <v>3845</v>
      </c>
      <c r="AC4" s="672"/>
      <c r="AD4" s="672"/>
      <c r="AI4" s="304" t="s">
        <v>3079</v>
      </c>
      <c r="AJ4" s="304" t="s">
        <v>2781</v>
      </c>
    </row>
    <row r="5" spans="1:36" x14ac:dyDescent="0.2">
      <c r="A5" s="672" t="s">
        <v>2993</v>
      </c>
      <c r="B5" s="672" t="s">
        <v>3764</v>
      </c>
      <c r="C5" s="672" t="s">
        <v>3769</v>
      </c>
      <c r="D5" s="672"/>
      <c r="E5" s="672"/>
      <c r="F5" s="763">
        <v>29600</v>
      </c>
      <c r="G5" s="672"/>
      <c r="H5" s="672"/>
      <c r="I5" s="672">
        <v>4.4000000000000004</v>
      </c>
      <c r="J5" s="759" t="s">
        <v>2823</v>
      </c>
      <c r="K5" s="672">
        <v>114</v>
      </c>
      <c r="L5" s="672"/>
      <c r="M5" s="672" t="s">
        <v>3140</v>
      </c>
      <c r="N5" s="672">
        <v>5</v>
      </c>
      <c r="O5" s="672">
        <v>85</v>
      </c>
      <c r="P5" s="672"/>
      <c r="Q5" s="672">
        <v>115</v>
      </c>
      <c r="R5" s="672"/>
      <c r="S5" s="672" t="s">
        <v>2785</v>
      </c>
      <c r="T5" s="758" t="s">
        <v>3917</v>
      </c>
      <c r="U5" s="758" t="s">
        <v>3932</v>
      </c>
      <c r="V5" s="758" t="s">
        <v>3948</v>
      </c>
      <c r="W5" s="758" t="s">
        <v>3962</v>
      </c>
      <c r="X5" s="672" t="s">
        <v>3775</v>
      </c>
      <c r="Y5" s="672" t="s">
        <v>3776</v>
      </c>
      <c r="Z5" s="672"/>
      <c r="AA5" s="672"/>
      <c r="AB5" s="672" t="s">
        <v>3794</v>
      </c>
      <c r="AC5" s="672"/>
      <c r="AD5" s="672"/>
    </row>
    <row r="6" spans="1:36" x14ac:dyDescent="0.2">
      <c r="A6" s="672" t="s">
        <v>2993</v>
      </c>
      <c r="B6" s="672" t="s">
        <v>3804</v>
      </c>
      <c r="C6" s="672" t="s">
        <v>3769</v>
      </c>
      <c r="D6" s="672"/>
      <c r="E6" s="672"/>
      <c r="F6" s="763">
        <v>36970</v>
      </c>
      <c r="G6" s="672"/>
      <c r="H6" s="672"/>
      <c r="I6" s="672">
        <v>4.9000000000000004</v>
      </c>
      <c r="J6" s="672" t="s">
        <v>2823</v>
      </c>
      <c r="K6" s="672">
        <v>128</v>
      </c>
      <c r="L6" s="672"/>
      <c r="M6" s="672" t="s">
        <v>3140</v>
      </c>
      <c r="N6" s="672">
        <v>5</v>
      </c>
      <c r="O6" s="672">
        <v>90</v>
      </c>
      <c r="P6" s="672"/>
      <c r="Q6" s="672">
        <v>122</v>
      </c>
      <c r="R6" s="672"/>
      <c r="S6" s="672" t="s">
        <v>2785</v>
      </c>
      <c r="T6" s="758" t="s">
        <v>4003</v>
      </c>
      <c r="U6" s="758" t="s">
        <v>4014</v>
      </c>
      <c r="V6" s="758" t="s">
        <v>4027</v>
      </c>
      <c r="W6" s="672" t="s">
        <v>4039</v>
      </c>
      <c r="X6" s="672" t="s">
        <v>3775</v>
      </c>
      <c r="Y6" s="672" t="s">
        <v>3830</v>
      </c>
      <c r="Z6" s="672" t="s">
        <v>3831</v>
      </c>
      <c r="AA6" s="672" t="s">
        <v>3832</v>
      </c>
      <c r="AB6" s="672" t="s">
        <v>3845</v>
      </c>
      <c r="AC6" s="672"/>
      <c r="AD6" s="672"/>
      <c r="AE6" s="304" t="s">
        <v>2781</v>
      </c>
    </row>
    <row r="7" spans="1:36" x14ac:dyDescent="0.2">
      <c r="A7" s="672" t="s">
        <v>2539</v>
      </c>
      <c r="B7" s="672" t="s">
        <v>3735</v>
      </c>
      <c r="C7" s="672" t="s">
        <v>3737</v>
      </c>
      <c r="D7" s="672"/>
      <c r="E7" s="672"/>
      <c r="F7" s="763">
        <v>31350</v>
      </c>
      <c r="G7" s="672"/>
      <c r="H7" s="672"/>
      <c r="I7" s="672">
        <v>6.4</v>
      </c>
      <c r="J7" s="759" t="s">
        <v>2500</v>
      </c>
      <c r="K7" s="672">
        <v>146</v>
      </c>
      <c r="L7" s="672"/>
      <c r="M7" s="672" t="s">
        <v>3140</v>
      </c>
      <c r="N7" s="672">
        <v>5</v>
      </c>
      <c r="O7" s="672">
        <v>80</v>
      </c>
      <c r="P7" s="672"/>
      <c r="Q7" s="672">
        <v>109</v>
      </c>
      <c r="R7" s="672"/>
      <c r="S7" s="672" t="s">
        <v>3738</v>
      </c>
      <c r="T7" s="758">
        <v>4556</v>
      </c>
      <c r="U7" s="758">
        <v>1800</v>
      </c>
      <c r="V7" s="758">
        <v>1608</v>
      </c>
      <c r="W7" s="758">
        <v>1515</v>
      </c>
      <c r="X7" s="672" t="s">
        <v>3748</v>
      </c>
      <c r="Y7" s="672" t="s">
        <v>3749</v>
      </c>
      <c r="Z7" s="672" t="s">
        <v>3750</v>
      </c>
      <c r="AA7" s="672" t="s">
        <v>3751</v>
      </c>
      <c r="AB7" s="672"/>
      <c r="AC7" s="672"/>
      <c r="AD7" s="672"/>
    </row>
    <row r="8" spans="1:36" x14ac:dyDescent="0.2">
      <c r="A8" s="763" t="s">
        <v>2539</v>
      </c>
      <c r="B8" s="672" t="s">
        <v>3766</v>
      </c>
      <c r="C8" s="672" t="s">
        <v>3771</v>
      </c>
      <c r="D8" s="672"/>
      <c r="E8" s="672"/>
      <c r="F8" s="763">
        <v>31160</v>
      </c>
      <c r="G8" s="672"/>
      <c r="H8" s="672"/>
      <c r="I8" s="672">
        <v>4.5</v>
      </c>
      <c r="J8" s="672" t="s">
        <v>2500</v>
      </c>
      <c r="K8" s="672">
        <v>118</v>
      </c>
      <c r="L8" s="672"/>
      <c r="M8" s="672" t="s">
        <v>3616</v>
      </c>
      <c r="N8" s="672">
        <v>5</v>
      </c>
      <c r="O8" s="672">
        <v>85</v>
      </c>
      <c r="P8" s="672"/>
      <c r="Q8" s="672">
        <v>115</v>
      </c>
      <c r="R8" s="672"/>
      <c r="S8" s="672" t="s">
        <v>2785</v>
      </c>
      <c r="T8" s="758">
        <v>4319</v>
      </c>
      <c r="U8" s="758">
        <v>1799</v>
      </c>
      <c r="V8" s="758">
        <v>1434</v>
      </c>
      <c r="W8" s="758">
        <v>1375</v>
      </c>
      <c r="X8" s="672" t="s">
        <v>3781</v>
      </c>
      <c r="Y8" s="672" t="s">
        <v>3782</v>
      </c>
      <c r="Z8" s="672"/>
      <c r="AA8" s="672"/>
      <c r="AB8" s="672"/>
      <c r="AC8" s="672"/>
      <c r="AD8" s="672"/>
    </row>
    <row r="9" spans="1:36" x14ac:dyDescent="0.2">
      <c r="A9" s="672" t="s">
        <v>2539</v>
      </c>
      <c r="B9" s="672" t="s">
        <v>3081</v>
      </c>
      <c r="C9" s="672" t="s">
        <v>3808</v>
      </c>
      <c r="D9" s="672"/>
      <c r="E9" s="672"/>
      <c r="F9" s="763">
        <v>38950</v>
      </c>
      <c r="G9" s="672"/>
      <c r="H9" s="672"/>
      <c r="I9" s="672">
        <v>4.8</v>
      </c>
      <c r="J9" s="672" t="s">
        <v>2500</v>
      </c>
      <c r="K9" s="672">
        <v>125</v>
      </c>
      <c r="L9" s="672"/>
      <c r="M9" s="672" t="s">
        <v>3140</v>
      </c>
      <c r="N9" s="672">
        <v>5</v>
      </c>
      <c r="O9" s="672">
        <v>110</v>
      </c>
      <c r="P9" s="672"/>
      <c r="Q9" s="672">
        <v>150</v>
      </c>
      <c r="R9" s="672"/>
      <c r="S9" s="672" t="s">
        <v>2785</v>
      </c>
      <c r="T9" s="758">
        <v>4709</v>
      </c>
      <c r="U9" s="758">
        <v>2068</v>
      </c>
      <c r="V9" s="758">
        <v>1435</v>
      </c>
      <c r="W9" s="758">
        <v>1520</v>
      </c>
      <c r="X9" s="672" t="s">
        <v>3272</v>
      </c>
      <c r="Y9" s="672" t="s">
        <v>3827</v>
      </c>
      <c r="Z9" s="672"/>
      <c r="AA9" s="672"/>
      <c r="AB9" s="672"/>
      <c r="AC9" s="672"/>
      <c r="AD9" s="672"/>
      <c r="AE9" s="304" t="s">
        <v>3234</v>
      </c>
    </row>
    <row r="10" spans="1:36" x14ac:dyDescent="0.2">
      <c r="A10" s="758" t="s">
        <v>2539</v>
      </c>
      <c r="B10" s="758" t="s">
        <v>3083</v>
      </c>
      <c r="C10" s="758" t="s">
        <v>3084</v>
      </c>
      <c r="D10" s="758"/>
      <c r="E10" s="758"/>
      <c r="F10" s="763">
        <v>32050</v>
      </c>
      <c r="G10" s="758"/>
      <c r="H10" s="758"/>
      <c r="I10" s="758">
        <v>4.7</v>
      </c>
      <c r="J10" s="672" t="s">
        <v>2500</v>
      </c>
      <c r="K10" s="758">
        <v>123</v>
      </c>
      <c r="L10" s="758"/>
      <c r="M10" s="758" t="s">
        <v>3616</v>
      </c>
      <c r="N10" s="758">
        <v>5</v>
      </c>
      <c r="O10" s="758">
        <v>85</v>
      </c>
      <c r="P10" s="758"/>
      <c r="Q10" s="758">
        <v>116</v>
      </c>
      <c r="R10" s="758"/>
      <c r="S10" s="758" t="s">
        <v>2785</v>
      </c>
      <c r="T10" s="758">
        <v>4354</v>
      </c>
      <c r="U10" s="758">
        <v>2039</v>
      </c>
      <c r="V10" s="758">
        <v>1555</v>
      </c>
      <c r="W10" s="758">
        <v>1495</v>
      </c>
      <c r="X10" s="758" t="s">
        <v>3281</v>
      </c>
      <c r="Y10" s="758" t="s">
        <v>3855</v>
      </c>
      <c r="Z10" s="758" t="s">
        <v>3274</v>
      </c>
      <c r="AA10" s="758" t="s">
        <v>3856</v>
      </c>
      <c r="AB10" s="758"/>
      <c r="AC10" s="758"/>
      <c r="AD10" s="758" t="s">
        <v>3282</v>
      </c>
      <c r="AE10" s="308" t="s">
        <v>3144</v>
      </c>
      <c r="AF10" s="308"/>
      <c r="AG10" s="308" t="s">
        <v>2779</v>
      </c>
      <c r="AH10" s="308" t="s">
        <v>2780</v>
      </c>
    </row>
    <row r="11" spans="1:36" x14ac:dyDescent="0.2">
      <c r="A11" s="758" t="s">
        <v>2539</v>
      </c>
      <c r="B11" s="758" t="s">
        <v>3735</v>
      </c>
      <c r="C11" s="758" t="s">
        <v>3084</v>
      </c>
      <c r="D11" s="758"/>
      <c r="E11" s="758"/>
      <c r="F11" s="763">
        <v>33600</v>
      </c>
      <c r="G11" s="758"/>
      <c r="H11" s="758"/>
      <c r="I11" s="758">
        <v>4.9000000000000004</v>
      </c>
      <c r="J11" s="672" t="s">
        <v>2500</v>
      </c>
      <c r="K11" s="758">
        <v>128</v>
      </c>
      <c r="L11" s="758"/>
      <c r="M11" s="758" t="s">
        <v>3616</v>
      </c>
      <c r="N11" s="758">
        <v>5</v>
      </c>
      <c r="O11" s="758">
        <v>85</v>
      </c>
      <c r="P11" s="758"/>
      <c r="Q11" s="758">
        <v>116</v>
      </c>
      <c r="R11" s="758"/>
      <c r="S11" s="758" t="s">
        <v>2785</v>
      </c>
      <c r="T11" s="758">
        <v>4565</v>
      </c>
      <c r="U11" s="758">
        <v>2038</v>
      </c>
      <c r="V11" s="758">
        <v>1606</v>
      </c>
      <c r="W11" s="758">
        <v>1560</v>
      </c>
      <c r="X11" s="758" t="s">
        <v>3281</v>
      </c>
      <c r="Y11" s="758" t="s">
        <v>3876</v>
      </c>
      <c r="Z11" s="758" t="s">
        <v>3274</v>
      </c>
      <c r="AA11" s="758" t="s">
        <v>3835</v>
      </c>
      <c r="AB11" s="758"/>
      <c r="AC11" s="758"/>
      <c r="AD11" s="758"/>
      <c r="AF11" s="304" t="s">
        <v>3174</v>
      </c>
    </row>
    <row r="12" spans="1:36" x14ac:dyDescent="0.2">
      <c r="A12" s="672" t="s">
        <v>2539</v>
      </c>
      <c r="B12" s="672" t="s">
        <v>3766</v>
      </c>
      <c r="C12" s="672" t="s">
        <v>3771</v>
      </c>
      <c r="D12" s="672"/>
      <c r="E12" s="672"/>
      <c r="F12" s="763">
        <v>31160</v>
      </c>
      <c r="G12" s="672"/>
      <c r="H12" s="672"/>
      <c r="I12" s="672">
        <v>4.5</v>
      </c>
      <c r="J12" s="672" t="s">
        <v>2823</v>
      </c>
      <c r="K12" s="672">
        <v>118</v>
      </c>
      <c r="L12" s="672"/>
      <c r="M12" s="672" t="s">
        <v>3616</v>
      </c>
      <c r="N12" s="672">
        <v>5</v>
      </c>
      <c r="O12" s="672">
        <v>85</v>
      </c>
      <c r="P12" s="672"/>
      <c r="Q12" s="672">
        <v>115</v>
      </c>
      <c r="R12" s="672"/>
      <c r="S12" s="672" t="s">
        <v>2785</v>
      </c>
      <c r="T12" s="758" t="s">
        <v>3921</v>
      </c>
      <c r="U12" s="758" t="s">
        <v>3936</v>
      </c>
      <c r="V12" s="758" t="s">
        <v>3952</v>
      </c>
      <c r="W12" s="672" t="s">
        <v>3966</v>
      </c>
      <c r="X12" s="672" t="s">
        <v>3781</v>
      </c>
      <c r="Y12" s="672" t="s">
        <v>3782</v>
      </c>
      <c r="Z12" s="672"/>
      <c r="AA12" s="672"/>
      <c r="AB12" s="672"/>
      <c r="AC12" s="672"/>
      <c r="AD12" s="672"/>
    </row>
    <row r="13" spans="1:36" x14ac:dyDescent="0.2">
      <c r="A13" s="672" t="s">
        <v>2539</v>
      </c>
      <c r="B13" s="672" t="s">
        <v>3081</v>
      </c>
      <c r="C13" s="672" t="s">
        <v>3808</v>
      </c>
      <c r="D13" s="672"/>
      <c r="E13" s="672"/>
      <c r="F13" s="763">
        <v>38950</v>
      </c>
      <c r="G13" s="672"/>
      <c r="H13" s="672"/>
      <c r="I13" s="672">
        <v>4.8</v>
      </c>
      <c r="J13" s="672" t="s">
        <v>2823</v>
      </c>
      <c r="K13" s="672">
        <v>125</v>
      </c>
      <c r="L13" s="672"/>
      <c r="M13" s="672" t="s">
        <v>3140</v>
      </c>
      <c r="N13" s="672">
        <v>5</v>
      </c>
      <c r="O13" s="672">
        <v>110</v>
      </c>
      <c r="P13" s="672"/>
      <c r="Q13" s="672">
        <v>150</v>
      </c>
      <c r="R13" s="672"/>
      <c r="S13" s="672" t="s">
        <v>2785</v>
      </c>
      <c r="T13" s="758" t="s">
        <v>4001</v>
      </c>
      <c r="U13" s="758" t="s">
        <v>4012</v>
      </c>
      <c r="V13" s="758" t="s">
        <v>4025</v>
      </c>
      <c r="W13" s="672" t="s">
        <v>4038</v>
      </c>
      <c r="X13" s="672" t="s">
        <v>3272</v>
      </c>
      <c r="Y13" s="672" t="s">
        <v>3827</v>
      </c>
      <c r="Z13" s="672"/>
      <c r="AA13" s="672"/>
      <c r="AB13" s="672"/>
      <c r="AC13" s="672"/>
      <c r="AD13" s="672"/>
      <c r="AG13" s="304" t="s">
        <v>2948</v>
      </c>
      <c r="AH13" s="304" t="s">
        <v>2781</v>
      </c>
    </row>
    <row r="14" spans="1:36" x14ac:dyDescent="0.2">
      <c r="A14" s="672" t="s">
        <v>2539</v>
      </c>
      <c r="B14" s="672" t="s">
        <v>3083</v>
      </c>
      <c r="C14" s="672" t="s">
        <v>3084</v>
      </c>
      <c r="D14" s="672"/>
      <c r="E14" s="672"/>
      <c r="F14" s="763">
        <v>32050</v>
      </c>
      <c r="G14" s="672"/>
      <c r="H14" s="672"/>
      <c r="I14" s="672">
        <v>4.7</v>
      </c>
      <c r="J14" s="672" t="s">
        <v>2823</v>
      </c>
      <c r="K14" s="672">
        <v>123</v>
      </c>
      <c r="L14" s="672"/>
      <c r="M14" s="672" t="s">
        <v>3616</v>
      </c>
      <c r="N14" s="672">
        <v>5</v>
      </c>
      <c r="O14" s="672">
        <v>85</v>
      </c>
      <c r="P14" s="672"/>
      <c r="Q14" s="672">
        <v>116</v>
      </c>
      <c r="R14" s="672"/>
      <c r="S14" s="672" t="s">
        <v>2785</v>
      </c>
      <c r="T14" s="758" t="s">
        <v>4055</v>
      </c>
      <c r="U14" s="758" t="s">
        <v>4005</v>
      </c>
      <c r="V14" s="672" t="s">
        <v>3949</v>
      </c>
      <c r="W14" s="672" t="s">
        <v>4088</v>
      </c>
      <c r="X14" s="672" t="s">
        <v>3281</v>
      </c>
      <c r="Y14" s="672" t="s">
        <v>3855</v>
      </c>
      <c r="Z14" s="672" t="s">
        <v>3274</v>
      </c>
      <c r="AA14" s="672" t="s">
        <v>3856</v>
      </c>
      <c r="AB14" s="672"/>
      <c r="AC14" s="672"/>
      <c r="AD14" s="672" t="s">
        <v>3282</v>
      </c>
    </row>
    <row r="15" spans="1:36" x14ac:dyDescent="0.2">
      <c r="A15" s="672" t="s">
        <v>2989</v>
      </c>
      <c r="B15" s="672" t="s">
        <v>3007</v>
      </c>
      <c r="C15" s="672" t="s">
        <v>3136</v>
      </c>
      <c r="D15" s="672"/>
      <c r="E15" s="672"/>
      <c r="F15" s="763">
        <v>11490</v>
      </c>
      <c r="G15" s="672"/>
      <c r="H15" s="672"/>
      <c r="I15" s="672">
        <v>4.8</v>
      </c>
      <c r="J15" s="672" t="s">
        <v>2500</v>
      </c>
      <c r="K15" s="672">
        <v>110</v>
      </c>
      <c r="L15" s="672"/>
      <c r="M15" s="672" t="s">
        <v>3140</v>
      </c>
      <c r="N15" s="672">
        <v>4</v>
      </c>
      <c r="O15" s="672">
        <v>53</v>
      </c>
      <c r="P15" s="672"/>
      <c r="Q15" s="672">
        <v>72</v>
      </c>
      <c r="R15" s="672"/>
      <c r="S15" s="672" t="s">
        <v>2762</v>
      </c>
      <c r="T15" s="758">
        <v>3466</v>
      </c>
      <c r="U15" s="758">
        <v>1884</v>
      </c>
      <c r="V15" s="758">
        <v>1460</v>
      </c>
      <c r="W15" s="758">
        <v>867</v>
      </c>
      <c r="X15" s="672"/>
      <c r="Y15" s="672"/>
      <c r="Z15" s="672"/>
      <c r="AA15" s="672" t="s">
        <v>3592</v>
      </c>
      <c r="AB15" s="672"/>
      <c r="AC15" s="672"/>
      <c r="AD15" s="672"/>
    </row>
    <row r="16" spans="1:36" x14ac:dyDescent="0.2">
      <c r="A16" s="672" t="s">
        <v>2989</v>
      </c>
      <c r="B16" s="672" t="s">
        <v>2743</v>
      </c>
      <c r="C16" s="672" t="s">
        <v>2751</v>
      </c>
      <c r="D16" s="672"/>
      <c r="E16" s="672"/>
      <c r="F16" s="763">
        <v>13390</v>
      </c>
      <c r="G16" s="672"/>
      <c r="H16" s="672"/>
      <c r="I16" s="672">
        <v>5.7</v>
      </c>
      <c r="J16" s="672" t="s">
        <v>2500</v>
      </c>
      <c r="K16" s="672">
        <v>127</v>
      </c>
      <c r="L16" s="672"/>
      <c r="M16" s="672" t="s">
        <v>3572</v>
      </c>
      <c r="N16" s="672">
        <v>5</v>
      </c>
      <c r="O16" s="672">
        <v>61</v>
      </c>
      <c r="P16" s="672"/>
      <c r="Q16" s="672">
        <v>83</v>
      </c>
      <c r="R16" s="672"/>
      <c r="S16" s="672" t="s">
        <v>2762</v>
      </c>
      <c r="T16" s="758">
        <v>3996</v>
      </c>
      <c r="U16" s="758">
        <v>2009</v>
      </c>
      <c r="V16" s="758">
        <v>1490</v>
      </c>
      <c r="W16" s="758">
        <v>1037</v>
      </c>
      <c r="X16" s="672" t="s">
        <v>2944</v>
      </c>
      <c r="Y16" s="672" t="s">
        <v>3586</v>
      </c>
      <c r="Z16" s="672"/>
      <c r="AA16" s="672" t="s">
        <v>3259</v>
      </c>
      <c r="AB16" s="672"/>
      <c r="AC16" s="672"/>
      <c r="AD16" s="672"/>
    </row>
    <row r="17" spans="1:32" x14ac:dyDescent="0.2">
      <c r="A17" s="672" t="s">
        <v>2989</v>
      </c>
      <c r="B17" s="672" t="s">
        <v>3223</v>
      </c>
      <c r="C17" s="672" t="s">
        <v>2944</v>
      </c>
      <c r="D17" s="672" t="s">
        <v>3139</v>
      </c>
      <c r="E17" s="672"/>
      <c r="F17" s="763">
        <v>20320</v>
      </c>
      <c r="G17" s="672"/>
      <c r="H17" s="672"/>
      <c r="I17" s="672">
        <v>6.2</v>
      </c>
      <c r="J17" s="672" t="s">
        <v>2500</v>
      </c>
      <c r="K17" s="672">
        <v>141</v>
      </c>
      <c r="L17" s="672"/>
      <c r="M17" s="672" t="s">
        <v>3572</v>
      </c>
      <c r="N17" s="672">
        <v>5</v>
      </c>
      <c r="O17" s="672">
        <v>81</v>
      </c>
      <c r="P17" s="672"/>
      <c r="Q17" s="672">
        <v>110</v>
      </c>
      <c r="R17" s="672"/>
      <c r="S17" s="672" t="s">
        <v>2785</v>
      </c>
      <c r="T17" s="758">
        <v>4154</v>
      </c>
      <c r="U17" s="758">
        <v>1976</v>
      </c>
      <c r="V17" s="758">
        <v>1597</v>
      </c>
      <c r="W17" s="758">
        <v>1247</v>
      </c>
      <c r="X17" s="672" t="s">
        <v>2946</v>
      </c>
      <c r="Y17" s="672" t="s">
        <v>3721</v>
      </c>
      <c r="Z17" s="672"/>
      <c r="AA17" s="672"/>
      <c r="AB17" s="672" t="s">
        <v>3729</v>
      </c>
      <c r="AC17" s="672"/>
      <c r="AD17" s="672"/>
    </row>
    <row r="18" spans="1:32" x14ac:dyDescent="0.2">
      <c r="A18" s="672" t="s">
        <v>2989</v>
      </c>
      <c r="B18" s="672" t="s">
        <v>3734</v>
      </c>
      <c r="C18" s="672" t="s">
        <v>2946</v>
      </c>
      <c r="D18" s="672" t="s">
        <v>2911</v>
      </c>
      <c r="E18" s="672"/>
      <c r="F18" s="763">
        <v>28550</v>
      </c>
      <c r="G18" s="672"/>
      <c r="H18" s="672"/>
      <c r="I18" s="672">
        <v>6.3</v>
      </c>
      <c r="J18" s="759" t="s">
        <v>2500</v>
      </c>
      <c r="K18" s="672">
        <v>143</v>
      </c>
      <c r="L18" s="672"/>
      <c r="M18" s="672" t="s">
        <v>3572</v>
      </c>
      <c r="N18" s="672">
        <v>7</v>
      </c>
      <c r="O18" s="672">
        <v>96</v>
      </c>
      <c r="P18" s="672"/>
      <c r="Q18" s="672">
        <v>131</v>
      </c>
      <c r="R18" s="672"/>
      <c r="S18" s="672" t="s">
        <v>2785</v>
      </c>
      <c r="T18" s="758">
        <v>4597</v>
      </c>
      <c r="U18" s="758">
        <v>2117</v>
      </c>
      <c r="V18" s="758">
        <v>1638</v>
      </c>
      <c r="W18" s="758">
        <v>1423</v>
      </c>
      <c r="X18" s="672"/>
      <c r="Y18" s="672"/>
      <c r="Z18" s="672"/>
      <c r="AA18" s="672"/>
      <c r="AB18" s="672" t="s">
        <v>3259</v>
      </c>
      <c r="AC18" s="672"/>
      <c r="AD18" s="672"/>
    </row>
    <row r="19" spans="1:32" x14ac:dyDescent="0.2">
      <c r="A19" s="672" t="s">
        <v>2989</v>
      </c>
      <c r="B19" s="672" t="s">
        <v>3239</v>
      </c>
      <c r="C19" s="672" t="s">
        <v>2946</v>
      </c>
      <c r="D19" s="672" t="s">
        <v>2911</v>
      </c>
      <c r="E19" s="672"/>
      <c r="F19" s="763">
        <v>26690</v>
      </c>
      <c r="G19" s="672"/>
      <c r="H19" s="672"/>
      <c r="I19" s="672">
        <v>6.6</v>
      </c>
      <c r="J19" s="672" t="s">
        <v>2500</v>
      </c>
      <c r="K19" s="672">
        <v>149</v>
      </c>
      <c r="L19" s="672"/>
      <c r="M19" s="672" t="s">
        <v>3140</v>
      </c>
      <c r="N19" s="672">
        <v>5</v>
      </c>
      <c r="O19" s="672">
        <v>96</v>
      </c>
      <c r="P19" s="672"/>
      <c r="Q19" s="672">
        <v>131</v>
      </c>
      <c r="R19" s="672"/>
      <c r="S19" s="672" t="s">
        <v>2785</v>
      </c>
      <c r="T19" s="758">
        <v>4500</v>
      </c>
      <c r="U19" s="758">
        <v>2099</v>
      </c>
      <c r="V19" s="758">
        <v>1654</v>
      </c>
      <c r="W19" s="758">
        <v>1468</v>
      </c>
      <c r="X19" s="672"/>
      <c r="Y19" s="672"/>
      <c r="Z19" s="672"/>
      <c r="AA19" s="672"/>
      <c r="AB19" s="672" t="s">
        <v>3760</v>
      </c>
      <c r="AC19" s="672"/>
      <c r="AD19" s="672"/>
      <c r="AE19" s="304" t="s">
        <v>3291</v>
      </c>
    </row>
    <row r="20" spans="1:32" x14ac:dyDescent="0.2">
      <c r="A20" s="672" t="s">
        <v>2989</v>
      </c>
      <c r="B20" s="759" t="s">
        <v>2931</v>
      </c>
      <c r="C20" s="759" t="s">
        <v>2949</v>
      </c>
      <c r="D20" s="759" t="s">
        <v>3139</v>
      </c>
      <c r="E20" s="759"/>
      <c r="F20" s="763">
        <v>20275</v>
      </c>
      <c r="G20" s="759"/>
      <c r="H20" s="759"/>
      <c r="I20" s="759">
        <v>4.5</v>
      </c>
      <c r="J20" s="672" t="s">
        <v>2500</v>
      </c>
      <c r="K20" s="759">
        <v>118</v>
      </c>
      <c r="L20" s="759"/>
      <c r="M20" s="759" t="s">
        <v>3140</v>
      </c>
      <c r="N20" s="759">
        <v>5</v>
      </c>
      <c r="O20" s="759">
        <v>75</v>
      </c>
      <c r="P20" s="759"/>
      <c r="Q20" s="759">
        <v>102</v>
      </c>
      <c r="R20" s="759"/>
      <c r="S20" s="759" t="s">
        <v>2785</v>
      </c>
      <c r="T20" s="761">
        <v>4170</v>
      </c>
      <c r="U20" s="761">
        <v>1979</v>
      </c>
      <c r="V20" s="761">
        <v>1480</v>
      </c>
      <c r="W20" s="761">
        <v>1148</v>
      </c>
      <c r="X20" s="759" t="s">
        <v>3086</v>
      </c>
      <c r="Y20" s="759" t="s">
        <v>3783</v>
      </c>
      <c r="Z20" s="759"/>
      <c r="AA20" s="759"/>
      <c r="AB20" s="759" t="s">
        <v>3259</v>
      </c>
      <c r="AC20" s="759"/>
      <c r="AD20" s="759"/>
    </row>
    <row r="21" spans="1:32" x14ac:dyDescent="0.2">
      <c r="A21" s="758" t="s">
        <v>2989</v>
      </c>
      <c r="B21" s="758" t="s">
        <v>3223</v>
      </c>
      <c r="C21" s="758" t="s">
        <v>3279</v>
      </c>
      <c r="D21" s="758" t="s">
        <v>3139</v>
      </c>
      <c r="E21" s="758"/>
      <c r="F21" s="763">
        <v>20790</v>
      </c>
      <c r="G21" s="758"/>
      <c r="H21" s="758"/>
      <c r="I21" s="758">
        <v>4.7</v>
      </c>
      <c r="J21" s="672" t="s">
        <v>2500</v>
      </c>
      <c r="K21" s="758">
        <v>123</v>
      </c>
      <c r="L21" s="758"/>
      <c r="M21" s="758" t="s">
        <v>3140</v>
      </c>
      <c r="N21" s="758">
        <v>5</v>
      </c>
      <c r="O21" s="758">
        <v>75</v>
      </c>
      <c r="P21" s="758"/>
      <c r="Q21" s="758">
        <v>102</v>
      </c>
      <c r="R21" s="758"/>
      <c r="S21" s="758" t="s">
        <v>2785</v>
      </c>
      <c r="T21" s="758">
        <v>4154</v>
      </c>
      <c r="U21" s="758">
        <v>1976</v>
      </c>
      <c r="V21" s="758">
        <v>1597</v>
      </c>
      <c r="W21" s="758">
        <v>1292</v>
      </c>
      <c r="X21" s="758" t="s">
        <v>3857</v>
      </c>
      <c r="Y21" s="758" t="s">
        <v>3858</v>
      </c>
      <c r="Z21" s="758"/>
      <c r="AA21" s="758"/>
      <c r="AB21" s="758" t="s">
        <v>3259</v>
      </c>
      <c r="AC21" s="758"/>
      <c r="AD21" s="758"/>
    </row>
    <row r="22" spans="1:32" x14ac:dyDescent="0.2">
      <c r="A22" s="672" t="s">
        <v>2989</v>
      </c>
      <c r="B22" s="672" t="s">
        <v>3237</v>
      </c>
      <c r="C22" s="672" t="s">
        <v>3284</v>
      </c>
      <c r="D22" s="672" t="s">
        <v>2911</v>
      </c>
      <c r="E22" s="672"/>
      <c r="F22" s="763">
        <v>28400</v>
      </c>
      <c r="G22" s="672"/>
      <c r="H22" s="672"/>
      <c r="I22" s="672">
        <v>5</v>
      </c>
      <c r="J22" s="672" t="s">
        <v>2500</v>
      </c>
      <c r="K22" s="672">
        <v>130</v>
      </c>
      <c r="L22" s="672"/>
      <c r="M22" s="672" t="s">
        <v>3140</v>
      </c>
      <c r="N22" s="672">
        <v>5</v>
      </c>
      <c r="O22" s="672">
        <v>96</v>
      </c>
      <c r="P22" s="672"/>
      <c r="Q22" s="672">
        <v>130</v>
      </c>
      <c r="R22" s="672"/>
      <c r="S22" s="672" t="s">
        <v>2785</v>
      </c>
      <c r="T22" s="758">
        <v>4438</v>
      </c>
      <c r="U22" s="758">
        <v>1826</v>
      </c>
      <c r="V22" s="758">
        <v>1610</v>
      </c>
      <c r="W22" s="758">
        <v>1410</v>
      </c>
      <c r="X22" s="672"/>
      <c r="Y22" s="672"/>
      <c r="Z22" s="672"/>
      <c r="AA22" s="672"/>
      <c r="AB22" s="672" t="s">
        <v>3886</v>
      </c>
      <c r="AC22" s="672"/>
      <c r="AD22" s="672"/>
      <c r="AF22" s="304" t="s">
        <v>3213</v>
      </c>
    </row>
    <row r="23" spans="1:32" x14ac:dyDescent="0.2">
      <c r="A23" s="672" t="s">
        <v>2989</v>
      </c>
      <c r="B23" s="672" t="s">
        <v>3239</v>
      </c>
      <c r="C23" s="672" t="s">
        <v>3284</v>
      </c>
      <c r="D23" s="672" t="s">
        <v>2911</v>
      </c>
      <c r="E23" s="672"/>
      <c r="F23" s="763">
        <v>29390</v>
      </c>
      <c r="G23" s="672"/>
      <c r="H23" s="672"/>
      <c r="I23" s="672">
        <v>5.2</v>
      </c>
      <c r="J23" s="672" t="s">
        <v>2500</v>
      </c>
      <c r="K23" s="672">
        <v>138</v>
      </c>
      <c r="L23" s="672"/>
      <c r="M23" s="672" t="s">
        <v>3140</v>
      </c>
      <c r="N23" s="672">
        <v>5</v>
      </c>
      <c r="O23" s="672">
        <v>96</v>
      </c>
      <c r="P23" s="672"/>
      <c r="Q23" s="672">
        <v>130</v>
      </c>
      <c r="R23" s="672"/>
      <c r="S23" s="672" t="s">
        <v>2785</v>
      </c>
      <c r="T23" s="758">
        <v>4500</v>
      </c>
      <c r="U23" s="758">
        <v>1969</v>
      </c>
      <c r="V23" s="758">
        <v>1654</v>
      </c>
      <c r="W23" s="758">
        <v>1507</v>
      </c>
      <c r="X23" s="672"/>
      <c r="Y23" s="672"/>
      <c r="Z23" s="672"/>
      <c r="AA23" s="672"/>
      <c r="AB23" s="672" t="s">
        <v>3891</v>
      </c>
      <c r="AC23" s="672" t="s">
        <v>3892</v>
      </c>
      <c r="AD23" s="672"/>
    </row>
    <row r="24" spans="1:32" x14ac:dyDescent="0.2">
      <c r="A24" s="672" t="s">
        <v>2989</v>
      </c>
      <c r="B24" s="672" t="s">
        <v>2743</v>
      </c>
      <c r="C24" s="672" t="s">
        <v>2949</v>
      </c>
      <c r="D24" s="672" t="s">
        <v>2911</v>
      </c>
      <c r="E24" s="672"/>
      <c r="F24" s="763">
        <v>18290</v>
      </c>
      <c r="G24" s="672"/>
      <c r="H24" s="672"/>
      <c r="I24" s="672">
        <v>4.5</v>
      </c>
      <c r="J24" s="672" t="s">
        <v>2823</v>
      </c>
      <c r="K24" s="672">
        <v>117</v>
      </c>
      <c r="L24" s="672"/>
      <c r="M24" s="672" t="s">
        <v>3140</v>
      </c>
      <c r="N24" s="672">
        <v>5</v>
      </c>
      <c r="O24" s="672">
        <v>75</v>
      </c>
      <c r="P24" s="672"/>
      <c r="Q24" s="672">
        <v>102</v>
      </c>
      <c r="R24" s="672"/>
      <c r="S24" s="672" t="s">
        <v>2762</v>
      </c>
      <c r="T24" s="758">
        <v>3996</v>
      </c>
      <c r="U24" s="758">
        <v>2009</v>
      </c>
      <c r="V24" s="758">
        <v>1474</v>
      </c>
      <c r="W24" s="758">
        <v>1146</v>
      </c>
      <c r="X24" s="672"/>
      <c r="Y24" s="672"/>
      <c r="Z24" s="672"/>
      <c r="AA24" s="672" t="s">
        <v>3259</v>
      </c>
      <c r="AB24" s="672"/>
      <c r="AC24" s="672"/>
      <c r="AD24" s="672"/>
    </row>
    <row r="25" spans="1:32" x14ac:dyDescent="0.2">
      <c r="A25" s="672" t="s">
        <v>2989</v>
      </c>
      <c r="B25" s="672" t="s">
        <v>2931</v>
      </c>
      <c r="C25" s="672" t="s">
        <v>2949</v>
      </c>
      <c r="D25" s="672" t="s">
        <v>3139</v>
      </c>
      <c r="E25" s="672"/>
      <c r="F25" s="763">
        <v>20275</v>
      </c>
      <c r="G25" s="672"/>
      <c r="H25" s="672"/>
      <c r="I25" s="672">
        <v>4.5</v>
      </c>
      <c r="J25" s="672" t="s">
        <v>2823</v>
      </c>
      <c r="K25" s="672">
        <v>118</v>
      </c>
      <c r="L25" s="672"/>
      <c r="M25" s="672" t="s">
        <v>3140</v>
      </c>
      <c r="N25" s="672">
        <v>5</v>
      </c>
      <c r="O25" s="672">
        <v>75</v>
      </c>
      <c r="P25" s="672"/>
      <c r="Q25" s="672">
        <v>102</v>
      </c>
      <c r="R25" s="672"/>
      <c r="S25" s="672" t="s">
        <v>2785</v>
      </c>
      <c r="T25" s="758" t="s">
        <v>3922</v>
      </c>
      <c r="U25" s="758" t="s">
        <v>3937</v>
      </c>
      <c r="V25" s="758" t="s">
        <v>3953</v>
      </c>
      <c r="W25" s="672" t="s">
        <v>3967</v>
      </c>
      <c r="X25" s="672" t="s">
        <v>3086</v>
      </c>
      <c r="Y25" s="672" t="s">
        <v>3783</v>
      </c>
      <c r="Z25" s="672"/>
      <c r="AA25" s="672"/>
      <c r="AB25" s="672" t="s">
        <v>3259</v>
      </c>
      <c r="AC25" s="672"/>
      <c r="AD25" s="672"/>
    </row>
    <row r="26" spans="1:32" x14ac:dyDescent="0.2">
      <c r="A26" s="672" t="s">
        <v>2989</v>
      </c>
      <c r="B26" s="672" t="s">
        <v>3223</v>
      </c>
      <c r="C26" s="672" t="s">
        <v>3279</v>
      </c>
      <c r="D26" s="672" t="s">
        <v>3139</v>
      </c>
      <c r="E26" s="672"/>
      <c r="F26" s="763">
        <v>20790</v>
      </c>
      <c r="G26" s="672"/>
      <c r="H26" s="672"/>
      <c r="I26" s="672">
        <v>4.7</v>
      </c>
      <c r="J26" s="672" t="s">
        <v>2823</v>
      </c>
      <c r="K26" s="672">
        <v>123</v>
      </c>
      <c r="L26" s="672"/>
      <c r="M26" s="672" t="s">
        <v>3140</v>
      </c>
      <c r="N26" s="672">
        <v>5</v>
      </c>
      <c r="O26" s="672">
        <v>75</v>
      </c>
      <c r="P26" s="672"/>
      <c r="Q26" s="672">
        <v>102</v>
      </c>
      <c r="R26" s="672"/>
      <c r="S26" s="672" t="s">
        <v>2785</v>
      </c>
      <c r="T26" s="758" t="s">
        <v>4056</v>
      </c>
      <c r="U26" s="758" t="s">
        <v>4067</v>
      </c>
      <c r="V26" s="758" t="s">
        <v>4078</v>
      </c>
      <c r="W26" s="672" t="s">
        <v>4089</v>
      </c>
      <c r="X26" s="672" t="s">
        <v>3857</v>
      </c>
      <c r="Y26" s="672" t="s">
        <v>3858</v>
      </c>
      <c r="Z26" s="672"/>
      <c r="AA26" s="672"/>
      <c r="AB26" s="672" t="s">
        <v>3259</v>
      </c>
      <c r="AC26" s="672"/>
      <c r="AD26" s="672"/>
      <c r="AE26" s="304" t="s">
        <v>2781</v>
      </c>
    </row>
    <row r="27" spans="1:32" x14ac:dyDescent="0.2">
      <c r="A27" s="672" t="s">
        <v>3087</v>
      </c>
      <c r="B27" s="758" t="s">
        <v>3675</v>
      </c>
      <c r="C27" s="758" t="s">
        <v>3228</v>
      </c>
      <c r="D27" s="672"/>
      <c r="E27" s="758"/>
      <c r="F27" s="763">
        <v>8590</v>
      </c>
      <c r="G27" s="672"/>
      <c r="H27" s="672"/>
      <c r="I27" s="672">
        <v>5.7</v>
      </c>
      <c r="J27" s="759" t="s">
        <v>2500</v>
      </c>
      <c r="K27" s="672">
        <v>129</v>
      </c>
      <c r="L27" s="672"/>
      <c r="M27" s="672" t="s">
        <v>3140</v>
      </c>
      <c r="N27" s="672">
        <v>5</v>
      </c>
      <c r="O27" s="672">
        <v>54</v>
      </c>
      <c r="P27" s="672"/>
      <c r="Q27" s="672">
        <v>73</v>
      </c>
      <c r="R27" s="672"/>
      <c r="S27" s="672" t="s">
        <v>2762</v>
      </c>
      <c r="T27" s="758">
        <v>4501</v>
      </c>
      <c r="U27" s="758">
        <v>1994</v>
      </c>
      <c r="V27" s="758">
        <v>1521</v>
      </c>
      <c r="W27" s="758">
        <v>1112</v>
      </c>
      <c r="X27" s="672" t="s">
        <v>3692</v>
      </c>
      <c r="Y27" s="672" t="s">
        <v>3693</v>
      </c>
      <c r="Z27" s="672"/>
      <c r="AA27" s="672"/>
      <c r="AB27" s="672"/>
      <c r="AC27" s="672"/>
      <c r="AD27" s="672" t="s">
        <v>3706</v>
      </c>
      <c r="AE27" s="304" t="s">
        <v>3253</v>
      </c>
    </row>
    <row r="28" spans="1:32" x14ac:dyDescent="0.2">
      <c r="A28" s="672" t="s">
        <v>3087</v>
      </c>
      <c r="B28" s="672" t="s">
        <v>3088</v>
      </c>
      <c r="C28" s="672" t="s">
        <v>3567</v>
      </c>
      <c r="D28" s="672"/>
      <c r="E28" s="672"/>
      <c r="F28" s="763">
        <v>7790</v>
      </c>
      <c r="G28" s="672"/>
      <c r="H28" s="672"/>
      <c r="I28" s="672">
        <v>5.7</v>
      </c>
      <c r="J28" s="672" t="s">
        <v>2500</v>
      </c>
      <c r="K28" s="672">
        <v>129</v>
      </c>
      <c r="L28" s="672"/>
      <c r="M28" s="672" t="s">
        <v>3140</v>
      </c>
      <c r="N28" s="672">
        <v>5</v>
      </c>
      <c r="O28" s="672">
        <v>54</v>
      </c>
      <c r="P28" s="672"/>
      <c r="Q28" s="672">
        <v>73</v>
      </c>
      <c r="R28" s="672"/>
      <c r="S28" s="672" t="s">
        <v>2762</v>
      </c>
      <c r="T28" s="758">
        <v>4069</v>
      </c>
      <c r="U28" s="758">
        <v>1994</v>
      </c>
      <c r="V28" s="758">
        <v>1555</v>
      </c>
      <c r="W28" s="758">
        <v>1052</v>
      </c>
      <c r="X28" s="672" t="s">
        <v>3089</v>
      </c>
      <c r="Y28" s="672" t="s">
        <v>3693</v>
      </c>
      <c r="Z28" s="672"/>
      <c r="AA28" s="672"/>
      <c r="AB28" s="672" t="s">
        <v>3706</v>
      </c>
      <c r="AC28" s="672" t="s">
        <v>3707</v>
      </c>
      <c r="AD28" s="672" t="s">
        <v>3708</v>
      </c>
    </row>
    <row r="29" spans="1:32" x14ac:dyDescent="0.2">
      <c r="A29" s="672" t="s">
        <v>3087</v>
      </c>
      <c r="B29" s="672" t="s">
        <v>3732</v>
      </c>
      <c r="C29" s="672" t="s">
        <v>3199</v>
      </c>
      <c r="D29" s="672"/>
      <c r="E29" s="672"/>
      <c r="F29" s="763">
        <v>12990</v>
      </c>
      <c r="G29" s="672"/>
      <c r="H29" s="672"/>
      <c r="I29" s="672">
        <v>6.1</v>
      </c>
      <c r="J29" s="672" t="s">
        <v>2500</v>
      </c>
      <c r="K29" s="672">
        <v>138</v>
      </c>
      <c r="L29" s="672"/>
      <c r="M29" s="672" t="s">
        <v>3140</v>
      </c>
      <c r="N29" s="672">
        <v>5</v>
      </c>
      <c r="O29" s="672">
        <v>74</v>
      </c>
      <c r="P29" s="672"/>
      <c r="Q29" s="672">
        <v>100</v>
      </c>
      <c r="R29" s="672"/>
      <c r="S29" s="672" t="s">
        <v>2762</v>
      </c>
      <c r="T29" s="758">
        <v>4341</v>
      </c>
      <c r="U29" s="758">
        <v>2052</v>
      </c>
      <c r="V29" s="758">
        <v>1693</v>
      </c>
      <c r="W29" s="758">
        <v>1191</v>
      </c>
      <c r="X29" s="672" t="s">
        <v>3629</v>
      </c>
      <c r="Y29" s="672" t="s">
        <v>3741</v>
      </c>
      <c r="Z29" s="672" t="s">
        <v>3742</v>
      </c>
      <c r="AA29" s="672" t="s">
        <v>3743</v>
      </c>
      <c r="AB29" s="672" t="s">
        <v>3756</v>
      </c>
      <c r="AC29" s="672" t="s">
        <v>3757</v>
      </c>
      <c r="AD29" s="672" t="s">
        <v>3708</v>
      </c>
      <c r="AE29" s="304" t="s">
        <v>3160</v>
      </c>
    </row>
    <row r="30" spans="1:32" x14ac:dyDescent="0.2">
      <c r="A30" s="672" t="s">
        <v>3087</v>
      </c>
      <c r="B30" s="672" t="s">
        <v>3088</v>
      </c>
      <c r="C30" s="672" t="s">
        <v>3286</v>
      </c>
      <c r="D30" s="672" t="s">
        <v>3139</v>
      </c>
      <c r="E30" s="672"/>
      <c r="F30" s="763">
        <v>11340</v>
      </c>
      <c r="G30" s="672"/>
      <c r="H30" s="672"/>
      <c r="I30" s="672">
        <v>4.4000000000000004</v>
      </c>
      <c r="J30" s="759" t="s">
        <v>2500</v>
      </c>
      <c r="K30" s="672">
        <v>116</v>
      </c>
      <c r="L30" s="672"/>
      <c r="M30" s="672" t="s">
        <v>3140</v>
      </c>
      <c r="N30" s="672">
        <v>5</v>
      </c>
      <c r="O30" s="672">
        <v>55</v>
      </c>
      <c r="P30" s="672"/>
      <c r="Q30" s="672">
        <v>75</v>
      </c>
      <c r="R30" s="672"/>
      <c r="S30" s="672" t="s">
        <v>2762</v>
      </c>
      <c r="T30" s="758">
        <v>4069</v>
      </c>
      <c r="U30" s="758">
        <v>1994</v>
      </c>
      <c r="V30" s="758">
        <v>1555</v>
      </c>
      <c r="W30" s="758">
        <v>1190</v>
      </c>
      <c r="X30" s="672" t="s">
        <v>3777</v>
      </c>
      <c r="Y30" s="672" t="s">
        <v>3778</v>
      </c>
      <c r="Z30" s="672"/>
      <c r="AA30" s="672"/>
      <c r="AB30" s="672" t="s">
        <v>3707</v>
      </c>
      <c r="AC30" s="672" t="s">
        <v>3708</v>
      </c>
      <c r="AD30" s="672"/>
    </row>
    <row r="31" spans="1:32" x14ac:dyDescent="0.2">
      <c r="A31" s="758" t="s">
        <v>3087</v>
      </c>
      <c r="B31" s="758" t="s">
        <v>3090</v>
      </c>
      <c r="C31" s="758" t="s">
        <v>3264</v>
      </c>
      <c r="D31" s="758"/>
      <c r="E31" s="758"/>
      <c r="F31" s="763">
        <v>15350</v>
      </c>
      <c r="G31" s="758"/>
      <c r="H31" s="758"/>
      <c r="I31" s="758">
        <v>4.8</v>
      </c>
      <c r="J31" s="672" t="s">
        <v>2500</v>
      </c>
      <c r="K31" s="758">
        <v>126</v>
      </c>
      <c r="L31" s="758"/>
      <c r="M31" s="758" t="s">
        <v>3140</v>
      </c>
      <c r="N31" s="758">
        <v>5</v>
      </c>
      <c r="O31" s="758">
        <v>70</v>
      </c>
      <c r="P31" s="758"/>
      <c r="Q31" s="758">
        <v>95</v>
      </c>
      <c r="R31" s="758"/>
      <c r="S31" s="758" t="s">
        <v>2785</v>
      </c>
      <c r="T31" s="758">
        <v>4498</v>
      </c>
      <c r="U31" s="758">
        <v>2004</v>
      </c>
      <c r="V31" s="758">
        <v>1682</v>
      </c>
      <c r="W31" s="758">
        <v>1263</v>
      </c>
      <c r="X31" s="758" t="s">
        <v>3270</v>
      </c>
      <c r="Y31" s="758" t="s">
        <v>3875</v>
      </c>
      <c r="Z31" s="758"/>
      <c r="AA31" s="758"/>
      <c r="AB31" s="758" t="s">
        <v>3268</v>
      </c>
      <c r="AC31" s="758"/>
      <c r="AD31" s="758"/>
    </row>
    <row r="32" spans="1:32" x14ac:dyDescent="0.2">
      <c r="A32" s="672" t="s">
        <v>3087</v>
      </c>
      <c r="B32" s="672" t="s">
        <v>3732</v>
      </c>
      <c r="C32" s="672" t="s">
        <v>3264</v>
      </c>
      <c r="D32" s="672"/>
      <c r="E32" s="672"/>
      <c r="F32" s="763">
        <v>15490</v>
      </c>
      <c r="G32" s="672"/>
      <c r="H32" s="672"/>
      <c r="I32" s="672">
        <v>4.9000000000000004</v>
      </c>
      <c r="J32" s="672" t="s">
        <v>2500</v>
      </c>
      <c r="K32" s="672">
        <v>128</v>
      </c>
      <c r="L32" s="672"/>
      <c r="M32" s="672" t="s">
        <v>3140</v>
      </c>
      <c r="N32" s="672">
        <v>5</v>
      </c>
      <c r="O32" s="672">
        <v>70</v>
      </c>
      <c r="P32" s="672"/>
      <c r="Q32" s="672">
        <v>95</v>
      </c>
      <c r="R32" s="672"/>
      <c r="S32" s="672" t="s">
        <v>2785</v>
      </c>
      <c r="T32" s="758">
        <v>4341</v>
      </c>
      <c r="U32" s="758">
        <v>2052</v>
      </c>
      <c r="V32" s="758">
        <v>1693</v>
      </c>
      <c r="W32" s="672">
        <v>1314</v>
      </c>
      <c r="X32" s="672" t="s">
        <v>3270</v>
      </c>
      <c r="Y32" s="672" t="s">
        <v>3877</v>
      </c>
      <c r="Z32" s="672"/>
      <c r="AA32" s="672"/>
      <c r="AB32" s="672" t="s">
        <v>3884</v>
      </c>
      <c r="AC32" s="672" t="s">
        <v>3885</v>
      </c>
      <c r="AD32" s="672"/>
    </row>
    <row r="33" spans="1:36" x14ac:dyDescent="0.2">
      <c r="A33" s="758" t="s">
        <v>3087</v>
      </c>
      <c r="B33" s="758" t="s">
        <v>3091</v>
      </c>
      <c r="C33" s="758" t="s">
        <v>3264</v>
      </c>
      <c r="D33" s="758"/>
      <c r="E33" s="758"/>
      <c r="F33" s="763">
        <v>14250</v>
      </c>
      <c r="G33" s="758"/>
      <c r="H33" s="758"/>
      <c r="I33" s="758">
        <v>5</v>
      </c>
      <c r="J33" s="672" t="s">
        <v>2500</v>
      </c>
      <c r="K33" s="758">
        <v>132</v>
      </c>
      <c r="L33" s="758"/>
      <c r="M33" s="758" t="s">
        <v>3140</v>
      </c>
      <c r="N33" s="758">
        <v>5</v>
      </c>
      <c r="O33" s="758">
        <v>70</v>
      </c>
      <c r="P33" s="758"/>
      <c r="Q33" s="758">
        <v>95</v>
      </c>
      <c r="R33" s="758"/>
      <c r="S33" s="758" t="s">
        <v>2785</v>
      </c>
      <c r="T33" s="758">
        <v>4363</v>
      </c>
      <c r="U33" s="758">
        <v>2004</v>
      </c>
      <c r="V33" s="758">
        <v>1804</v>
      </c>
      <c r="W33" s="758">
        <v>1368</v>
      </c>
      <c r="X33" s="758"/>
      <c r="Y33" s="758"/>
      <c r="Z33" s="758"/>
      <c r="AA33" s="758"/>
      <c r="AB33" s="758" t="s">
        <v>3268</v>
      </c>
      <c r="AC33" s="758"/>
      <c r="AD33" s="758"/>
    </row>
    <row r="34" spans="1:36" x14ac:dyDescent="0.2">
      <c r="A34" s="672" t="s">
        <v>3087</v>
      </c>
      <c r="B34" s="672" t="s">
        <v>3088</v>
      </c>
      <c r="C34" s="672" t="s">
        <v>3286</v>
      </c>
      <c r="D34" s="672" t="s">
        <v>3139</v>
      </c>
      <c r="E34" s="672"/>
      <c r="F34" s="763">
        <v>11340</v>
      </c>
      <c r="G34" s="672"/>
      <c r="H34" s="672"/>
      <c r="I34" s="672">
        <v>4.4000000000000004</v>
      </c>
      <c r="J34" s="672" t="s">
        <v>2823</v>
      </c>
      <c r="K34" s="672">
        <v>116</v>
      </c>
      <c r="L34" s="672"/>
      <c r="M34" s="672" t="s">
        <v>3140</v>
      </c>
      <c r="N34" s="672">
        <v>5</v>
      </c>
      <c r="O34" s="672">
        <v>55</v>
      </c>
      <c r="P34" s="672"/>
      <c r="Q34" s="672">
        <v>75</v>
      </c>
      <c r="R34" s="672"/>
      <c r="S34" s="672" t="s">
        <v>2762</v>
      </c>
      <c r="T34" s="672" t="s">
        <v>3918</v>
      </c>
      <c r="U34" s="758" t="s">
        <v>3933</v>
      </c>
      <c r="V34" s="758" t="s">
        <v>3949</v>
      </c>
      <c r="W34" s="672" t="s">
        <v>3963</v>
      </c>
      <c r="X34" s="672" t="s">
        <v>3777</v>
      </c>
      <c r="Y34" s="672" t="s">
        <v>3778</v>
      </c>
      <c r="Z34" s="672"/>
      <c r="AA34" s="672"/>
      <c r="AB34" s="672" t="s">
        <v>3707</v>
      </c>
      <c r="AC34" s="672" t="s">
        <v>3708</v>
      </c>
      <c r="AD34" s="672"/>
      <c r="AE34" s="304" t="s">
        <v>3170</v>
      </c>
      <c r="AF34" s="309" t="s">
        <v>3175</v>
      </c>
      <c r="AG34" s="511" t="s">
        <v>3176</v>
      </c>
      <c r="AH34" s="511"/>
      <c r="AI34" s="511" t="s">
        <v>3191</v>
      </c>
      <c r="AJ34" s="511" t="s">
        <v>2781</v>
      </c>
    </row>
    <row r="35" spans="1:36" x14ac:dyDescent="0.2">
      <c r="A35" s="758" t="s">
        <v>3235</v>
      </c>
      <c r="B35" s="758" t="s">
        <v>3240</v>
      </c>
      <c r="C35" s="758" t="s">
        <v>3284</v>
      </c>
      <c r="D35" s="758"/>
      <c r="E35" s="758"/>
      <c r="F35" s="763">
        <v>41290</v>
      </c>
      <c r="G35" s="758"/>
      <c r="H35" s="758"/>
      <c r="I35" s="758">
        <v>5.2</v>
      </c>
      <c r="J35" s="672" t="s">
        <v>2500</v>
      </c>
      <c r="K35" s="758">
        <v>136</v>
      </c>
      <c r="L35" s="758"/>
      <c r="M35" s="758" t="s">
        <v>3140</v>
      </c>
      <c r="N35" s="758">
        <v>5</v>
      </c>
      <c r="O35" s="758">
        <v>96</v>
      </c>
      <c r="P35" s="758"/>
      <c r="Q35" s="758">
        <v>130</v>
      </c>
      <c r="R35" s="758"/>
      <c r="S35" s="758" t="s">
        <v>3082</v>
      </c>
      <c r="T35" s="758">
        <v>4573</v>
      </c>
      <c r="U35" s="758">
        <v>2098</v>
      </c>
      <c r="V35" s="758">
        <v>1625</v>
      </c>
      <c r="W35" s="758">
        <v>1527</v>
      </c>
      <c r="X35" s="758" t="s">
        <v>3821</v>
      </c>
      <c r="Y35" s="758" t="s">
        <v>3881</v>
      </c>
      <c r="Z35" s="758"/>
      <c r="AA35" s="758"/>
      <c r="AB35" s="758" t="s">
        <v>3252</v>
      </c>
      <c r="AC35" s="758" t="s">
        <v>3253</v>
      </c>
      <c r="AD35" s="758"/>
      <c r="AF35" s="304" t="s">
        <v>3175</v>
      </c>
      <c r="AG35" s="304" t="s">
        <v>3178</v>
      </c>
      <c r="AH35" s="304" t="s">
        <v>3179</v>
      </c>
      <c r="AI35" s="304" t="s">
        <v>3094</v>
      </c>
      <c r="AJ35" s="304" t="s">
        <v>3080</v>
      </c>
    </row>
    <row r="36" spans="1:36" x14ac:dyDescent="0.2">
      <c r="A36" s="758" t="s">
        <v>2985</v>
      </c>
      <c r="B36" s="758">
        <v>500</v>
      </c>
      <c r="C36" s="758" t="s">
        <v>3143</v>
      </c>
      <c r="D36" s="672" t="s">
        <v>3571</v>
      </c>
      <c r="E36" s="758"/>
      <c r="F36" s="763">
        <v>18170</v>
      </c>
      <c r="G36" s="672"/>
      <c r="H36" s="672"/>
      <c r="I36" s="672">
        <v>5.5</v>
      </c>
      <c r="J36" s="759" t="s">
        <v>2500</v>
      </c>
      <c r="K36" s="672">
        <v>135</v>
      </c>
      <c r="L36" s="672"/>
      <c r="M36" s="672" t="s">
        <v>3572</v>
      </c>
      <c r="N36" s="672">
        <v>4</v>
      </c>
      <c r="O36" s="672">
        <v>51</v>
      </c>
      <c r="P36" s="672"/>
      <c r="Q36" s="672">
        <v>69</v>
      </c>
      <c r="R36" s="672"/>
      <c r="S36" s="672" t="s">
        <v>2822</v>
      </c>
      <c r="T36" s="758">
        <v>3571</v>
      </c>
      <c r="U36" s="758">
        <v>1627</v>
      </c>
      <c r="V36" s="758">
        <v>1488</v>
      </c>
      <c r="W36" s="758">
        <v>900</v>
      </c>
      <c r="X36" s="672"/>
      <c r="Y36" s="672"/>
      <c r="Z36" s="672"/>
      <c r="AA36" s="672" t="s">
        <v>3159</v>
      </c>
      <c r="AB36" s="672" t="s">
        <v>3604</v>
      </c>
      <c r="AC36" s="672" t="s">
        <v>3605</v>
      </c>
      <c r="AD36" s="672" t="s">
        <v>3607</v>
      </c>
      <c r="AE36" s="304" t="s">
        <v>3204</v>
      </c>
      <c r="AF36" s="304" t="s">
        <v>3175</v>
      </c>
      <c r="AG36" s="304" t="s">
        <v>3176</v>
      </c>
    </row>
    <row r="37" spans="1:36" x14ac:dyDescent="0.2">
      <c r="A37" s="758" t="s">
        <v>2985</v>
      </c>
      <c r="B37" s="758" t="s">
        <v>3093</v>
      </c>
      <c r="C37" s="758" t="s">
        <v>3143</v>
      </c>
      <c r="D37" s="672"/>
      <c r="E37" s="758"/>
      <c r="F37" s="763">
        <v>12100</v>
      </c>
      <c r="G37" s="672"/>
      <c r="H37" s="672"/>
      <c r="I37" s="672">
        <v>5.7</v>
      </c>
      <c r="J37" s="759" t="s">
        <v>2500</v>
      </c>
      <c r="K37" s="672">
        <v>133</v>
      </c>
      <c r="L37" s="672"/>
      <c r="M37" s="672" t="s">
        <v>3573</v>
      </c>
      <c r="N37" s="672">
        <v>4</v>
      </c>
      <c r="O37" s="672">
        <v>51</v>
      </c>
      <c r="P37" s="672"/>
      <c r="Q37" s="672">
        <v>69</v>
      </c>
      <c r="R37" s="672"/>
      <c r="S37" s="672" t="s">
        <v>2762</v>
      </c>
      <c r="T37" s="758">
        <v>3653</v>
      </c>
      <c r="U37" s="758">
        <v>1882</v>
      </c>
      <c r="V37" s="758">
        <v>1551</v>
      </c>
      <c r="W37" s="758">
        <v>980</v>
      </c>
      <c r="X37" s="672"/>
      <c r="Y37" s="672"/>
      <c r="Z37" s="672"/>
      <c r="AA37" s="672"/>
      <c r="AB37" s="672" t="s">
        <v>3723</v>
      </c>
      <c r="AC37" s="672"/>
      <c r="AD37" s="672"/>
      <c r="AE37" s="309" t="s">
        <v>3234</v>
      </c>
    </row>
    <row r="38" spans="1:36" x14ac:dyDescent="0.2">
      <c r="A38" s="672" t="s">
        <v>2985</v>
      </c>
      <c r="B38" s="672" t="s">
        <v>3801</v>
      </c>
      <c r="C38" s="672" t="s">
        <v>3285</v>
      </c>
      <c r="D38" s="672"/>
      <c r="E38" s="672"/>
      <c r="F38" s="763">
        <v>21170</v>
      </c>
      <c r="G38" s="672"/>
      <c r="H38" s="672"/>
      <c r="I38" s="672">
        <v>4.5999999999999996</v>
      </c>
      <c r="J38" s="759" t="s">
        <v>2500</v>
      </c>
      <c r="K38" s="672">
        <v>120</v>
      </c>
      <c r="L38" s="672"/>
      <c r="M38" s="672" t="s">
        <v>3572</v>
      </c>
      <c r="N38" s="672">
        <v>5</v>
      </c>
      <c r="O38" s="672">
        <v>70</v>
      </c>
      <c r="P38" s="672"/>
      <c r="Q38" s="672">
        <v>95</v>
      </c>
      <c r="R38" s="672"/>
      <c r="S38" s="672" t="s">
        <v>2762</v>
      </c>
      <c r="T38" s="758">
        <v>4571</v>
      </c>
      <c r="U38" s="758">
        <v>1792</v>
      </c>
      <c r="V38" s="758">
        <v>1514</v>
      </c>
      <c r="W38" s="758">
        <v>1395</v>
      </c>
      <c r="X38" s="672" t="s">
        <v>3817</v>
      </c>
      <c r="Y38" s="672" t="s">
        <v>3818</v>
      </c>
      <c r="Z38" s="672"/>
      <c r="AA38" s="672"/>
      <c r="AB38" s="672" t="s">
        <v>3838</v>
      </c>
      <c r="AC38" s="672" t="s">
        <v>3839</v>
      </c>
      <c r="AD38" s="672"/>
      <c r="AE38" s="304" t="s">
        <v>3234</v>
      </c>
    </row>
    <row r="39" spans="1:36" x14ac:dyDescent="0.2">
      <c r="A39" s="672" t="s">
        <v>2985</v>
      </c>
      <c r="B39" s="672" t="s">
        <v>3847</v>
      </c>
      <c r="C39" s="672" t="s">
        <v>3850</v>
      </c>
      <c r="D39" s="672" t="s">
        <v>3851</v>
      </c>
      <c r="E39" s="672"/>
      <c r="F39" s="763">
        <v>22100</v>
      </c>
      <c r="G39" s="672"/>
      <c r="H39" s="672"/>
      <c r="I39" s="672">
        <v>4.8</v>
      </c>
      <c r="J39" s="672" t="s">
        <v>2500</v>
      </c>
      <c r="K39" s="672">
        <v>126</v>
      </c>
      <c r="L39" s="672"/>
      <c r="M39" s="672" t="s">
        <v>3573</v>
      </c>
      <c r="N39" s="672">
        <v>5</v>
      </c>
      <c r="O39" s="672">
        <v>70</v>
      </c>
      <c r="P39" s="672"/>
      <c r="Q39" s="672">
        <v>95</v>
      </c>
      <c r="R39" s="672"/>
      <c r="S39" s="672" t="s">
        <v>2762</v>
      </c>
      <c r="T39" s="758">
        <v>4264</v>
      </c>
      <c r="U39" s="758">
        <v>2025</v>
      </c>
      <c r="V39" s="758">
        <v>1595</v>
      </c>
      <c r="W39" s="758">
        <v>1320</v>
      </c>
      <c r="X39" s="672" t="s">
        <v>3850</v>
      </c>
      <c r="Y39" s="672" t="s">
        <v>3858</v>
      </c>
      <c r="Z39" s="672"/>
      <c r="AA39" s="672"/>
      <c r="AB39" s="672" t="s">
        <v>3869</v>
      </c>
      <c r="AC39" s="672"/>
      <c r="AD39" s="672" t="s">
        <v>3282</v>
      </c>
      <c r="AE39" s="304" t="s">
        <v>2800</v>
      </c>
    </row>
    <row r="40" spans="1:36" x14ac:dyDescent="0.2">
      <c r="A40" s="672" t="s">
        <v>2985</v>
      </c>
      <c r="B40" s="672" t="s">
        <v>3801</v>
      </c>
      <c r="C40" s="672" t="s">
        <v>3285</v>
      </c>
      <c r="D40" s="672"/>
      <c r="E40" s="672"/>
      <c r="F40" s="763">
        <v>21170</v>
      </c>
      <c r="G40" s="672"/>
      <c r="H40" s="672"/>
      <c r="I40" s="672">
        <v>4.5999999999999996</v>
      </c>
      <c r="J40" s="672" t="s">
        <v>2823</v>
      </c>
      <c r="K40" s="672">
        <v>120</v>
      </c>
      <c r="L40" s="672"/>
      <c r="M40" s="672" t="s">
        <v>3572</v>
      </c>
      <c r="N40" s="672">
        <v>5</v>
      </c>
      <c r="O40" s="672">
        <v>70</v>
      </c>
      <c r="P40" s="672"/>
      <c r="Q40" s="672">
        <v>95</v>
      </c>
      <c r="R40" s="672"/>
      <c r="S40" s="672" t="s">
        <v>2762</v>
      </c>
      <c r="T40" s="758" t="s">
        <v>3995</v>
      </c>
      <c r="U40" s="758" t="s">
        <v>4007</v>
      </c>
      <c r="V40" s="758" t="s">
        <v>4021</v>
      </c>
      <c r="W40" s="672" t="s">
        <v>4029</v>
      </c>
      <c r="X40" s="672" t="s">
        <v>3817</v>
      </c>
      <c r="Y40" s="672" t="s">
        <v>3818</v>
      </c>
      <c r="Z40" s="672"/>
      <c r="AA40" s="672"/>
      <c r="AB40" s="672" t="s">
        <v>3838</v>
      </c>
      <c r="AC40" s="672" t="s">
        <v>3839</v>
      </c>
      <c r="AD40" s="672"/>
    </row>
    <row r="41" spans="1:36" x14ac:dyDescent="0.2">
      <c r="A41" s="672" t="s">
        <v>2985</v>
      </c>
      <c r="B41" s="672" t="s">
        <v>3847</v>
      </c>
      <c r="C41" s="672" t="s">
        <v>3850</v>
      </c>
      <c r="D41" s="672" t="s">
        <v>3851</v>
      </c>
      <c r="E41" s="672"/>
      <c r="F41" s="763">
        <v>22100</v>
      </c>
      <c r="G41" s="672"/>
      <c r="H41" s="672"/>
      <c r="I41" s="672">
        <v>4.8</v>
      </c>
      <c r="J41" s="672" t="s">
        <v>2823</v>
      </c>
      <c r="K41" s="672">
        <v>126</v>
      </c>
      <c r="L41" s="672"/>
      <c r="M41" s="672" t="s">
        <v>3573</v>
      </c>
      <c r="N41" s="672">
        <v>5</v>
      </c>
      <c r="O41" s="672">
        <v>70</v>
      </c>
      <c r="P41" s="672"/>
      <c r="Q41" s="672">
        <v>95</v>
      </c>
      <c r="R41" s="672"/>
      <c r="S41" s="672" t="s">
        <v>2762</v>
      </c>
      <c r="T41" s="672" t="s">
        <v>4059</v>
      </c>
      <c r="U41" s="758" t="s">
        <v>4070</v>
      </c>
      <c r="V41" s="672" t="s">
        <v>4081</v>
      </c>
      <c r="W41" s="758" t="s">
        <v>4092</v>
      </c>
      <c r="X41" s="672" t="s">
        <v>3850</v>
      </c>
      <c r="Y41" s="672" t="s">
        <v>3858</v>
      </c>
      <c r="Z41" s="672"/>
      <c r="AA41" s="672"/>
      <c r="AB41" s="672" t="s">
        <v>3869</v>
      </c>
      <c r="AC41" s="672"/>
      <c r="AD41" s="672" t="s">
        <v>3282</v>
      </c>
    </row>
    <row r="42" spans="1:36" x14ac:dyDescent="0.2">
      <c r="A42" s="672" t="s">
        <v>2995</v>
      </c>
      <c r="B42" s="672" t="s">
        <v>3164</v>
      </c>
      <c r="C42" s="672" t="s">
        <v>3166</v>
      </c>
      <c r="D42" s="672" t="s">
        <v>2911</v>
      </c>
      <c r="E42" s="672"/>
      <c r="F42" s="763">
        <v>15300</v>
      </c>
      <c r="G42" s="672"/>
      <c r="H42" s="672"/>
      <c r="I42" s="672">
        <v>5.0999999999999996</v>
      </c>
      <c r="J42" s="759" t="s">
        <v>2500</v>
      </c>
      <c r="K42" s="672">
        <v>115</v>
      </c>
      <c r="L42" s="672"/>
      <c r="M42" s="672" t="s">
        <v>3573</v>
      </c>
      <c r="N42" s="672">
        <v>5</v>
      </c>
      <c r="O42" s="672">
        <v>70</v>
      </c>
      <c r="P42" s="672"/>
      <c r="Q42" s="672">
        <v>95</v>
      </c>
      <c r="R42" s="672"/>
      <c r="S42" s="672" t="s">
        <v>2785</v>
      </c>
      <c r="T42" s="758">
        <v>4065</v>
      </c>
      <c r="U42" s="758">
        <v>1941</v>
      </c>
      <c r="V42" s="758">
        <v>1466</v>
      </c>
      <c r="W42" s="758">
        <v>1163</v>
      </c>
      <c r="X42" s="672" t="s">
        <v>3617</v>
      </c>
      <c r="Y42" s="672" t="s">
        <v>3618</v>
      </c>
      <c r="Z42" s="672" t="s">
        <v>3166</v>
      </c>
      <c r="AA42" s="672" t="s">
        <v>3619</v>
      </c>
      <c r="AB42" s="672" t="s">
        <v>3166</v>
      </c>
      <c r="AC42" s="672" t="s">
        <v>3620</v>
      </c>
      <c r="AD42" s="672" t="s">
        <v>3651</v>
      </c>
      <c r="AE42" s="304" t="s">
        <v>2781</v>
      </c>
    </row>
    <row r="43" spans="1:36" x14ac:dyDescent="0.2">
      <c r="A43" s="672" t="s">
        <v>2995</v>
      </c>
      <c r="B43" s="672" t="s">
        <v>3095</v>
      </c>
      <c r="C43" s="672" t="s">
        <v>3167</v>
      </c>
      <c r="D43" s="672"/>
      <c r="E43" s="672"/>
      <c r="F43" s="763">
        <v>22100</v>
      </c>
      <c r="G43" s="672"/>
      <c r="H43" s="672"/>
      <c r="I43" s="672">
        <v>5.3</v>
      </c>
      <c r="J43" s="759" t="s">
        <v>2500</v>
      </c>
      <c r="K43" s="672">
        <v>119</v>
      </c>
      <c r="L43" s="672"/>
      <c r="M43" s="672" t="s">
        <v>3573</v>
      </c>
      <c r="N43" s="672">
        <v>5</v>
      </c>
      <c r="O43" s="672">
        <v>74</v>
      </c>
      <c r="P43" s="672"/>
      <c r="Q43" s="672">
        <v>100</v>
      </c>
      <c r="R43" s="672"/>
      <c r="S43" s="672" t="s">
        <v>2785</v>
      </c>
      <c r="T43" s="758">
        <v>4378</v>
      </c>
      <c r="U43" s="758">
        <v>1979</v>
      </c>
      <c r="V43" s="758">
        <v>1471</v>
      </c>
      <c r="W43" s="758">
        <v>1322</v>
      </c>
      <c r="X43" s="672" t="s">
        <v>3167</v>
      </c>
      <c r="Y43" s="672" t="s">
        <v>3621</v>
      </c>
      <c r="Z43" s="672" t="s">
        <v>3167</v>
      </c>
      <c r="AA43" s="672" t="s">
        <v>3622</v>
      </c>
      <c r="AB43" s="672" t="s">
        <v>3203</v>
      </c>
      <c r="AC43" s="672" t="s">
        <v>3623</v>
      </c>
      <c r="AD43" s="672" t="s">
        <v>3175</v>
      </c>
    </row>
    <row r="44" spans="1:36" x14ac:dyDescent="0.2">
      <c r="A44" s="758" t="s">
        <v>2995</v>
      </c>
      <c r="B44" s="758" t="s">
        <v>3672</v>
      </c>
      <c r="C44" s="758" t="s">
        <v>3167</v>
      </c>
      <c r="D44" s="758"/>
      <c r="E44" s="758"/>
      <c r="F44" s="763">
        <v>23600</v>
      </c>
      <c r="G44" s="758"/>
      <c r="H44" s="758"/>
      <c r="I44" s="758">
        <v>5.3</v>
      </c>
      <c r="J44" s="672" t="s">
        <v>2500</v>
      </c>
      <c r="K44" s="758">
        <v>119</v>
      </c>
      <c r="L44" s="758"/>
      <c r="M44" s="758" t="s">
        <v>3573</v>
      </c>
      <c r="N44" s="758">
        <v>5</v>
      </c>
      <c r="O44" s="758">
        <v>74</v>
      </c>
      <c r="P44" s="758"/>
      <c r="Q44" s="758">
        <v>100</v>
      </c>
      <c r="R44" s="758"/>
      <c r="S44" s="758" t="s">
        <v>2785</v>
      </c>
      <c r="T44" s="758">
        <v>4668</v>
      </c>
      <c r="U44" s="758">
        <v>1979</v>
      </c>
      <c r="V44" s="758">
        <v>1494</v>
      </c>
      <c r="W44" s="758">
        <v>1383</v>
      </c>
      <c r="X44" s="758" t="s">
        <v>3167</v>
      </c>
      <c r="Y44" s="758" t="s">
        <v>3681</v>
      </c>
      <c r="Z44" s="758" t="s">
        <v>3203</v>
      </c>
      <c r="AA44" s="758" t="s">
        <v>3682</v>
      </c>
      <c r="AB44" s="758" t="s">
        <v>3203</v>
      </c>
      <c r="AC44" s="758" t="s">
        <v>3683</v>
      </c>
      <c r="AD44" s="758" t="s">
        <v>3175</v>
      </c>
      <c r="AE44" s="304" t="s">
        <v>3234</v>
      </c>
    </row>
    <row r="45" spans="1:36" x14ac:dyDescent="0.2">
      <c r="A45" s="672" t="s">
        <v>2995</v>
      </c>
      <c r="B45" s="672" t="s">
        <v>3226</v>
      </c>
      <c r="C45" s="672" t="s">
        <v>3167</v>
      </c>
      <c r="D45" s="672"/>
      <c r="E45" s="672"/>
      <c r="F45" s="763">
        <v>20300</v>
      </c>
      <c r="G45" s="672"/>
      <c r="H45" s="672"/>
      <c r="I45" s="672">
        <v>5.9</v>
      </c>
      <c r="J45" s="759" t="s">
        <v>2500</v>
      </c>
      <c r="K45" s="672">
        <v>134</v>
      </c>
      <c r="L45" s="672"/>
      <c r="M45" s="672" t="s">
        <v>3573</v>
      </c>
      <c r="N45" s="672">
        <v>5</v>
      </c>
      <c r="O45" s="672">
        <v>74</v>
      </c>
      <c r="P45" s="672"/>
      <c r="Q45" s="672">
        <v>100</v>
      </c>
      <c r="R45" s="672"/>
      <c r="S45" s="672" t="s">
        <v>2785</v>
      </c>
      <c r="T45" s="758">
        <v>4096</v>
      </c>
      <c r="U45" s="758">
        <v>2057</v>
      </c>
      <c r="V45" s="758">
        <v>1653</v>
      </c>
      <c r="W45" s="758">
        <v>1349</v>
      </c>
      <c r="X45" s="672" t="s">
        <v>3167</v>
      </c>
      <c r="Y45" s="672" t="s">
        <v>3719</v>
      </c>
      <c r="Z45" s="672" t="s">
        <v>3167</v>
      </c>
      <c r="AA45" s="672" t="s">
        <v>3698</v>
      </c>
      <c r="AB45" s="672" t="s">
        <v>3231</v>
      </c>
      <c r="AC45" s="672" t="s">
        <v>3724</v>
      </c>
      <c r="AD45" s="672" t="s">
        <v>3725</v>
      </c>
      <c r="AE45" s="304" t="s">
        <v>3234</v>
      </c>
    </row>
    <row r="46" spans="1:36" x14ac:dyDescent="0.2">
      <c r="A46" s="672" t="s">
        <v>2995</v>
      </c>
      <c r="B46" s="672" t="s">
        <v>2898</v>
      </c>
      <c r="C46" s="672" t="s">
        <v>3258</v>
      </c>
      <c r="D46" s="672" t="s">
        <v>2911</v>
      </c>
      <c r="E46" s="672"/>
      <c r="F46" s="763">
        <v>16650</v>
      </c>
      <c r="G46" s="672"/>
      <c r="H46" s="672"/>
      <c r="I46" s="672">
        <v>4.2</v>
      </c>
      <c r="J46" s="759" t="s">
        <v>2500</v>
      </c>
      <c r="K46" s="672">
        <v>111</v>
      </c>
      <c r="L46" s="672"/>
      <c r="M46" s="672" t="s">
        <v>3573</v>
      </c>
      <c r="N46" s="672">
        <v>5</v>
      </c>
      <c r="O46" s="672">
        <v>63</v>
      </c>
      <c r="P46" s="672"/>
      <c r="Q46" s="672">
        <v>85</v>
      </c>
      <c r="R46" s="672"/>
      <c r="S46" s="672" t="s">
        <v>2785</v>
      </c>
      <c r="T46" s="758">
        <v>4040</v>
      </c>
      <c r="U46" s="758">
        <v>1735</v>
      </c>
      <c r="V46" s="758">
        <v>1476</v>
      </c>
      <c r="W46" s="758">
        <v>1194</v>
      </c>
      <c r="X46" s="672"/>
      <c r="Y46" s="672"/>
      <c r="Z46" s="672"/>
      <c r="AA46" s="672"/>
      <c r="AB46" s="672" t="s">
        <v>2778</v>
      </c>
      <c r="AC46" s="672" t="s">
        <v>3792</v>
      </c>
      <c r="AD46" s="672" t="s">
        <v>3793</v>
      </c>
      <c r="AF46" s="304" t="s">
        <v>3209</v>
      </c>
      <c r="AG46" s="304" t="s">
        <v>3210</v>
      </c>
      <c r="AH46" s="304" t="s">
        <v>2938</v>
      </c>
    </row>
    <row r="47" spans="1:36" x14ac:dyDescent="0.2">
      <c r="A47" s="758" t="s">
        <v>2995</v>
      </c>
      <c r="B47" s="758" t="s">
        <v>3095</v>
      </c>
      <c r="C47" s="758" t="s">
        <v>3770</v>
      </c>
      <c r="D47" s="758"/>
      <c r="E47" s="758"/>
      <c r="F47" s="763">
        <v>23650</v>
      </c>
      <c r="G47" s="758"/>
      <c r="H47" s="758"/>
      <c r="I47" s="758">
        <v>4.5</v>
      </c>
      <c r="J47" s="672" t="s">
        <v>2500</v>
      </c>
      <c r="K47" s="758">
        <v>117</v>
      </c>
      <c r="L47" s="758"/>
      <c r="M47" s="758" t="s">
        <v>3573</v>
      </c>
      <c r="N47" s="758">
        <v>5</v>
      </c>
      <c r="O47" s="758">
        <v>70</v>
      </c>
      <c r="P47" s="758"/>
      <c r="Q47" s="758">
        <v>95</v>
      </c>
      <c r="R47" s="758"/>
      <c r="S47" s="758" t="s">
        <v>2785</v>
      </c>
      <c r="T47" s="758">
        <v>4378</v>
      </c>
      <c r="U47" s="758">
        <v>1825</v>
      </c>
      <c r="V47" s="758">
        <v>1454</v>
      </c>
      <c r="W47" s="758">
        <v>1363</v>
      </c>
      <c r="X47" s="758" t="s">
        <v>3262</v>
      </c>
      <c r="Y47" s="758" t="s">
        <v>3779</v>
      </c>
      <c r="Z47" s="758" t="s">
        <v>3273</v>
      </c>
      <c r="AA47" s="758" t="s">
        <v>3780</v>
      </c>
      <c r="AB47" s="758" t="s">
        <v>2778</v>
      </c>
      <c r="AC47" s="758" t="s">
        <v>3795</v>
      </c>
      <c r="AD47" s="758" t="s">
        <v>3059</v>
      </c>
      <c r="AE47" s="309" t="s">
        <v>2940</v>
      </c>
      <c r="AF47" s="309"/>
      <c r="AG47" s="309"/>
      <c r="AH47" s="309"/>
    </row>
    <row r="48" spans="1:36" x14ac:dyDescent="0.2">
      <c r="A48" s="763" t="s">
        <v>2995</v>
      </c>
      <c r="B48" s="763" t="s">
        <v>3767</v>
      </c>
      <c r="C48" s="763" t="s">
        <v>3770</v>
      </c>
      <c r="D48" s="763"/>
      <c r="E48" s="763"/>
      <c r="F48" s="763">
        <v>25890</v>
      </c>
      <c r="G48" s="763"/>
      <c r="H48" s="763"/>
      <c r="I48" s="672">
        <v>4.5</v>
      </c>
      <c r="J48" s="672" t="s">
        <v>2500</v>
      </c>
      <c r="K48" s="672">
        <v>118</v>
      </c>
      <c r="L48" s="763"/>
      <c r="M48" s="763" t="s">
        <v>3573</v>
      </c>
      <c r="N48" s="672">
        <v>5</v>
      </c>
      <c r="O48" s="763">
        <v>88</v>
      </c>
      <c r="P48" s="763"/>
      <c r="Q48" s="763">
        <v>120</v>
      </c>
      <c r="R48" s="763"/>
      <c r="S48" s="763" t="s">
        <v>2785</v>
      </c>
      <c r="T48" s="758">
        <v>4186</v>
      </c>
      <c r="U48" s="758">
        <v>1930</v>
      </c>
      <c r="V48" s="763">
        <v>1536</v>
      </c>
      <c r="W48" s="763">
        <v>1280</v>
      </c>
      <c r="X48" s="763"/>
      <c r="Y48" s="763"/>
      <c r="Z48" s="763"/>
      <c r="AA48" s="763"/>
      <c r="AB48" s="763" t="s">
        <v>3652</v>
      </c>
      <c r="AC48" s="763"/>
      <c r="AD48" s="763"/>
    </row>
    <row r="49" spans="1:36" x14ac:dyDescent="0.2">
      <c r="A49" s="672" t="s">
        <v>2995</v>
      </c>
      <c r="B49" s="672" t="s">
        <v>3672</v>
      </c>
      <c r="C49" s="672" t="s">
        <v>3262</v>
      </c>
      <c r="D49" s="672"/>
      <c r="E49" s="672"/>
      <c r="F49" s="763">
        <v>25150</v>
      </c>
      <c r="G49" s="672"/>
      <c r="H49" s="672"/>
      <c r="I49" s="672">
        <v>4.5</v>
      </c>
      <c r="J49" s="759" t="s">
        <v>2500</v>
      </c>
      <c r="K49" s="672">
        <v>119</v>
      </c>
      <c r="L49" s="672"/>
      <c r="M49" s="672" t="s">
        <v>3573</v>
      </c>
      <c r="N49" s="672">
        <v>5</v>
      </c>
      <c r="O49" s="672">
        <v>70</v>
      </c>
      <c r="P49" s="672"/>
      <c r="Q49" s="672">
        <v>95</v>
      </c>
      <c r="R49" s="672"/>
      <c r="S49" s="672" t="s">
        <v>2785</v>
      </c>
      <c r="T49" s="758">
        <v>4668</v>
      </c>
      <c r="U49" s="758">
        <v>1979</v>
      </c>
      <c r="V49" s="758">
        <v>1494</v>
      </c>
      <c r="W49" s="758">
        <v>1413</v>
      </c>
      <c r="X49" s="672" t="s">
        <v>3262</v>
      </c>
      <c r="Y49" s="672" t="s">
        <v>3816</v>
      </c>
      <c r="Z49" s="672" t="s">
        <v>3273</v>
      </c>
      <c r="AA49" s="672" t="s">
        <v>3780</v>
      </c>
      <c r="AB49" s="672" t="s">
        <v>3175</v>
      </c>
      <c r="AC49" s="672" t="s">
        <v>3795</v>
      </c>
      <c r="AD49" s="672" t="s">
        <v>3059</v>
      </c>
      <c r="AF49" s="304" t="s">
        <v>3187</v>
      </c>
      <c r="AI49" s="304" t="s">
        <v>3194</v>
      </c>
      <c r="AJ49" s="304" t="s">
        <v>2781</v>
      </c>
    </row>
    <row r="50" spans="1:36" x14ac:dyDescent="0.2">
      <c r="A50" s="672" t="s">
        <v>2995</v>
      </c>
      <c r="B50" s="672" t="s">
        <v>3805</v>
      </c>
      <c r="C50" s="672" t="s">
        <v>3810</v>
      </c>
      <c r="D50" s="672"/>
      <c r="E50" s="672"/>
      <c r="F50" s="763">
        <v>34100</v>
      </c>
      <c r="G50" s="672"/>
      <c r="H50" s="672"/>
      <c r="I50" s="672">
        <v>4.9000000000000004</v>
      </c>
      <c r="J50" s="759" t="s">
        <v>2500</v>
      </c>
      <c r="K50" s="672">
        <v>128</v>
      </c>
      <c r="L50" s="672"/>
      <c r="M50" s="672" t="s">
        <v>3140</v>
      </c>
      <c r="N50" s="672">
        <v>5</v>
      </c>
      <c r="O50" s="672">
        <v>88</v>
      </c>
      <c r="P50" s="672"/>
      <c r="Q50" s="672">
        <v>120</v>
      </c>
      <c r="R50" s="672"/>
      <c r="S50" s="672" t="s">
        <v>2785</v>
      </c>
      <c r="T50" s="758">
        <v>4871</v>
      </c>
      <c r="U50" s="758">
        <v>2121</v>
      </c>
      <c r="V50" s="758">
        <v>1482</v>
      </c>
      <c r="W50" s="758">
        <v>1707</v>
      </c>
      <c r="X50" s="672" t="s">
        <v>3833</v>
      </c>
      <c r="Y50" s="672" t="s">
        <v>3834</v>
      </c>
      <c r="Z50" s="672" t="s">
        <v>3833</v>
      </c>
      <c r="AA50" s="672" t="s">
        <v>3835</v>
      </c>
      <c r="AB50" s="672" t="s">
        <v>3175</v>
      </c>
      <c r="AC50" s="672" t="s">
        <v>3176</v>
      </c>
      <c r="AD50" s="672"/>
      <c r="AF50" s="304" t="s">
        <v>3219</v>
      </c>
    </row>
    <row r="51" spans="1:36" x14ac:dyDescent="0.2">
      <c r="A51" s="758" t="s">
        <v>2995</v>
      </c>
      <c r="B51" s="758" t="s">
        <v>3226</v>
      </c>
      <c r="C51" s="758" t="s">
        <v>3770</v>
      </c>
      <c r="D51" s="672"/>
      <c r="E51" s="758"/>
      <c r="F51" s="763">
        <v>23700</v>
      </c>
      <c r="G51" s="672"/>
      <c r="H51" s="672"/>
      <c r="I51" s="672">
        <v>4.9000000000000004</v>
      </c>
      <c r="J51" s="759" t="s">
        <v>2500</v>
      </c>
      <c r="K51" s="672">
        <v>129</v>
      </c>
      <c r="L51" s="672"/>
      <c r="M51" s="672" t="s">
        <v>3573</v>
      </c>
      <c r="N51" s="672">
        <v>5</v>
      </c>
      <c r="O51" s="672">
        <v>74</v>
      </c>
      <c r="P51" s="672"/>
      <c r="Q51" s="672">
        <v>100</v>
      </c>
      <c r="R51" s="672"/>
      <c r="S51" s="672" t="s">
        <v>2785</v>
      </c>
      <c r="T51" s="758">
        <v>4096</v>
      </c>
      <c r="U51" s="758">
        <v>2057</v>
      </c>
      <c r="V51" s="758">
        <v>1653</v>
      </c>
      <c r="W51" s="758">
        <v>1395</v>
      </c>
      <c r="X51" s="672" t="s">
        <v>3262</v>
      </c>
      <c r="Y51" s="672" t="s">
        <v>3859</v>
      </c>
      <c r="Z51" s="672"/>
      <c r="AA51" s="672"/>
      <c r="AB51" s="672" t="s">
        <v>3870</v>
      </c>
      <c r="AC51" s="672" t="s">
        <v>3796</v>
      </c>
      <c r="AD51" s="672" t="s">
        <v>3072</v>
      </c>
    </row>
    <row r="52" spans="1:36" x14ac:dyDescent="0.2">
      <c r="A52" s="758" t="s">
        <v>2995</v>
      </c>
      <c r="B52" s="758" t="s">
        <v>2943</v>
      </c>
      <c r="C52" s="758" t="s">
        <v>3280</v>
      </c>
      <c r="D52" s="758"/>
      <c r="E52" s="758"/>
      <c r="F52" s="763">
        <v>18142</v>
      </c>
      <c r="G52" s="758"/>
      <c r="H52" s="758"/>
      <c r="I52" s="758">
        <v>5.4</v>
      </c>
      <c r="J52" s="672" t="s">
        <v>2500</v>
      </c>
      <c r="K52" s="758">
        <v>141</v>
      </c>
      <c r="L52" s="758"/>
      <c r="M52" s="758" t="s">
        <v>3573</v>
      </c>
      <c r="N52" s="758">
        <v>5</v>
      </c>
      <c r="O52" s="758">
        <v>55</v>
      </c>
      <c r="P52" s="758"/>
      <c r="Q52" s="758">
        <v>75</v>
      </c>
      <c r="R52" s="758"/>
      <c r="S52" s="758" t="s">
        <v>2785</v>
      </c>
      <c r="T52" s="758">
        <v>4157</v>
      </c>
      <c r="U52" s="758">
        <v>2112</v>
      </c>
      <c r="V52" s="758">
        <v>1741</v>
      </c>
      <c r="W52" s="758">
        <v>1420</v>
      </c>
      <c r="X52" s="758" t="s">
        <v>3266</v>
      </c>
      <c r="Y52" s="758" t="s">
        <v>3867</v>
      </c>
      <c r="Z52" s="758"/>
      <c r="AA52" s="758"/>
      <c r="AB52" s="758" t="s">
        <v>3232</v>
      </c>
      <c r="AC52" s="758"/>
      <c r="AD52" s="758" t="s">
        <v>3072</v>
      </c>
    </row>
    <row r="53" spans="1:36" x14ac:dyDescent="0.2">
      <c r="A53" s="672" t="s">
        <v>2995</v>
      </c>
      <c r="B53" s="672" t="s">
        <v>2898</v>
      </c>
      <c r="C53" s="672" t="s">
        <v>3258</v>
      </c>
      <c r="D53" s="672" t="s">
        <v>2911</v>
      </c>
      <c r="E53" s="672"/>
      <c r="F53" s="763">
        <v>16650</v>
      </c>
      <c r="G53" s="672"/>
      <c r="H53" s="672"/>
      <c r="I53" s="672">
        <v>4.2</v>
      </c>
      <c r="J53" s="759" t="s">
        <v>2823</v>
      </c>
      <c r="K53" s="672">
        <v>111</v>
      </c>
      <c r="L53" s="672"/>
      <c r="M53" s="672" t="s">
        <v>3573</v>
      </c>
      <c r="N53" s="672">
        <v>5</v>
      </c>
      <c r="O53" s="672">
        <v>63</v>
      </c>
      <c r="P53" s="672"/>
      <c r="Q53" s="672">
        <v>85</v>
      </c>
      <c r="R53" s="672"/>
      <c r="S53" s="672" t="s">
        <v>2785</v>
      </c>
      <c r="T53" s="758" t="s">
        <v>3915</v>
      </c>
      <c r="U53" s="758" t="s">
        <v>3930</v>
      </c>
      <c r="V53" s="758" t="s">
        <v>3946</v>
      </c>
      <c r="W53" s="758" t="s">
        <v>3960</v>
      </c>
      <c r="X53" s="672"/>
      <c r="Y53" s="672"/>
      <c r="Z53" s="672"/>
      <c r="AA53" s="672"/>
      <c r="AB53" s="672" t="s">
        <v>2778</v>
      </c>
      <c r="AC53" s="672" t="s">
        <v>3792</v>
      </c>
      <c r="AD53" s="672" t="s">
        <v>3793</v>
      </c>
      <c r="AE53" s="304" t="s">
        <v>2781</v>
      </c>
    </row>
    <row r="54" spans="1:36" x14ac:dyDescent="0.2">
      <c r="A54" s="672" t="s">
        <v>2995</v>
      </c>
      <c r="B54" s="672" t="s">
        <v>3095</v>
      </c>
      <c r="C54" s="672" t="s">
        <v>3770</v>
      </c>
      <c r="D54" s="672"/>
      <c r="E54" s="672"/>
      <c r="F54" s="763">
        <v>23650</v>
      </c>
      <c r="G54" s="672"/>
      <c r="H54" s="672"/>
      <c r="I54" s="672">
        <v>4.5</v>
      </c>
      <c r="J54" s="672" t="s">
        <v>2823</v>
      </c>
      <c r="K54" s="672">
        <v>117</v>
      </c>
      <c r="L54" s="672"/>
      <c r="M54" s="672" t="s">
        <v>3573</v>
      </c>
      <c r="N54" s="672">
        <v>5</v>
      </c>
      <c r="O54" s="672">
        <v>70</v>
      </c>
      <c r="P54" s="672"/>
      <c r="Q54" s="672">
        <v>95</v>
      </c>
      <c r="R54" s="672"/>
      <c r="S54" s="672" t="s">
        <v>2785</v>
      </c>
      <c r="T54" s="758" t="s">
        <v>3919</v>
      </c>
      <c r="U54" s="758" t="s">
        <v>3934</v>
      </c>
      <c r="V54" s="672" t="s">
        <v>3950</v>
      </c>
      <c r="W54" s="672" t="s">
        <v>3964</v>
      </c>
      <c r="X54" s="672" t="s">
        <v>3262</v>
      </c>
      <c r="Y54" s="672" t="s">
        <v>3779</v>
      </c>
      <c r="Z54" s="672" t="s">
        <v>3273</v>
      </c>
      <c r="AA54" s="672" t="s">
        <v>3780</v>
      </c>
      <c r="AB54" s="672" t="s">
        <v>2778</v>
      </c>
      <c r="AC54" s="672" t="s">
        <v>3795</v>
      </c>
      <c r="AD54" s="672" t="s">
        <v>3059</v>
      </c>
    </row>
    <row r="55" spans="1:36" x14ac:dyDescent="0.2">
      <c r="A55" s="672" t="s">
        <v>2995</v>
      </c>
      <c r="B55" s="672" t="s">
        <v>3767</v>
      </c>
      <c r="C55" s="672" t="s">
        <v>3770</v>
      </c>
      <c r="D55" s="672"/>
      <c r="E55" s="672"/>
      <c r="F55" s="763">
        <v>25890</v>
      </c>
      <c r="G55" s="672"/>
      <c r="H55" s="672"/>
      <c r="I55" s="672">
        <v>4.5</v>
      </c>
      <c r="J55" s="672" t="s">
        <v>2823</v>
      </c>
      <c r="K55" s="672">
        <v>118</v>
      </c>
      <c r="L55" s="672"/>
      <c r="M55" s="672" t="s">
        <v>3573</v>
      </c>
      <c r="N55" s="672">
        <v>5</v>
      </c>
      <c r="O55" s="672">
        <v>88</v>
      </c>
      <c r="P55" s="672"/>
      <c r="Q55" s="672">
        <v>120</v>
      </c>
      <c r="R55" s="672"/>
      <c r="S55" s="672" t="s">
        <v>2785</v>
      </c>
      <c r="T55" s="758" t="s">
        <v>3923</v>
      </c>
      <c r="U55" s="758" t="s">
        <v>3938</v>
      </c>
      <c r="V55" s="758" t="s">
        <v>3954</v>
      </c>
      <c r="W55" s="672" t="s">
        <v>3968</v>
      </c>
      <c r="X55" s="672"/>
      <c r="Y55" s="672"/>
      <c r="Z55" s="672"/>
      <c r="AA55" s="672"/>
      <c r="AB55" s="672" t="s">
        <v>3652</v>
      </c>
      <c r="AC55" s="672"/>
      <c r="AD55" s="672"/>
    </row>
    <row r="56" spans="1:36" x14ac:dyDescent="0.2">
      <c r="A56" s="672" t="s">
        <v>2995</v>
      </c>
      <c r="B56" s="672" t="s">
        <v>3672</v>
      </c>
      <c r="C56" s="672" t="s">
        <v>3262</v>
      </c>
      <c r="D56" s="672"/>
      <c r="E56" s="672"/>
      <c r="F56" s="763">
        <v>25150</v>
      </c>
      <c r="G56" s="672"/>
      <c r="H56" s="672"/>
      <c r="I56" s="672">
        <v>4.5</v>
      </c>
      <c r="J56" s="672" t="s">
        <v>2823</v>
      </c>
      <c r="K56" s="672">
        <v>119</v>
      </c>
      <c r="L56" s="672"/>
      <c r="M56" s="672" t="s">
        <v>3573</v>
      </c>
      <c r="N56" s="672">
        <v>5</v>
      </c>
      <c r="O56" s="672">
        <v>70</v>
      </c>
      <c r="P56" s="672"/>
      <c r="Q56" s="672">
        <v>95</v>
      </c>
      <c r="R56" s="672"/>
      <c r="S56" s="672" t="s">
        <v>2785</v>
      </c>
      <c r="T56" s="758" t="s">
        <v>3994</v>
      </c>
      <c r="U56" s="758" t="s">
        <v>3937</v>
      </c>
      <c r="V56" s="758" t="s">
        <v>4020</v>
      </c>
      <c r="W56" s="672" t="s">
        <v>4032</v>
      </c>
      <c r="X56" s="672" t="s">
        <v>3262</v>
      </c>
      <c r="Y56" s="672" t="s">
        <v>3816</v>
      </c>
      <c r="Z56" s="672" t="s">
        <v>3273</v>
      </c>
      <c r="AA56" s="672" t="s">
        <v>3780</v>
      </c>
      <c r="AB56" s="672" t="s">
        <v>3175</v>
      </c>
      <c r="AC56" s="672" t="s">
        <v>3795</v>
      </c>
      <c r="AD56" s="672" t="s">
        <v>3059</v>
      </c>
      <c r="AF56" s="304" t="s">
        <v>3188</v>
      </c>
      <c r="AG56" s="304" t="s">
        <v>3189</v>
      </c>
      <c r="AI56" s="304" t="s">
        <v>3094</v>
      </c>
      <c r="AJ56" s="304" t="s">
        <v>3080</v>
      </c>
    </row>
    <row r="57" spans="1:36" x14ac:dyDescent="0.2">
      <c r="A57" s="672" t="s">
        <v>2995</v>
      </c>
      <c r="B57" s="672" t="s">
        <v>3805</v>
      </c>
      <c r="C57" s="672" t="s">
        <v>3810</v>
      </c>
      <c r="D57" s="672"/>
      <c r="E57" s="672"/>
      <c r="F57" s="763">
        <v>34100</v>
      </c>
      <c r="G57" s="672"/>
      <c r="H57" s="672"/>
      <c r="I57" s="672">
        <v>4.9000000000000004</v>
      </c>
      <c r="J57" s="672" t="s">
        <v>2823</v>
      </c>
      <c r="K57" s="672">
        <v>128</v>
      </c>
      <c r="L57" s="672"/>
      <c r="M57" s="672" t="s">
        <v>3140</v>
      </c>
      <c r="N57" s="672">
        <v>5</v>
      </c>
      <c r="O57" s="672">
        <v>88</v>
      </c>
      <c r="P57" s="672"/>
      <c r="Q57" s="672">
        <v>120</v>
      </c>
      <c r="R57" s="672"/>
      <c r="S57" s="672" t="s">
        <v>2785</v>
      </c>
      <c r="T57" s="758" t="s">
        <v>4004</v>
      </c>
      <c r="U57" s="758" t="s">
        <v>4015</v>
      </c>
      <c r="V57" s="672" t="s">
        <v>4028</v>
      </c>
      <c r="W57" s="672" t="s">
        <v>4040</v>
      </c>
      <c r="X57" s="672" t="s">
        <v>3833</v>
      </c>
      <c r="Y57" s="672" t="s">
        <v>3834</v>
      </c>
      <c r="Z57" s="672" t="s">
        <v>3833</v>
      </c>
      <c r="AA57" s="672" t="s">
        <v>3835</v>
      </c>
      <c r="AB57" s="672" t="s">
        <v>3175</v>
      </c>
      <c r="AC57" s="672" t="s">
        <v>3176</v>
      </c>
      <c r="AD57" s="672"/>
      <c r="AF57" s="304" t="s">
        <v>3097</v>
      </c>
      <c r="AG57" s="304" t="s">
        <v>3189</v>
      </c>
    </row>
    <row r="58" spans="1:36" x14ac:dyDescent="0.2">
      <c r="A58" s="672" t="s">
        <v>2995</v>
      </c>
      <c r="B58" s="672" t="s">
        <v>3226</v>
      </c>
      <c r="C58" s="672" t="s">
        <v>3770</v>
      </c>
      <c r="D58" s="672"/>
      <c r="E58" s="672"/>
      <c r="F58" s="763">
        <v>23700</v>
      </c>
      <c r="G58" s="672"/>
      <c r="H58" s="672"/>
      <c r="I58" s="672">
        <v>4.9000000000000004</v>
      </c>
      <c r="J58" s="672" t="s">
        <v>2823</v>
      </c>
      <c r="K58" s="672">
        <v>129</v>
      </c>
      <c r="L58" s="672"/>
      <c r="M58" s="672" t="s">
        <v>3573</v>
      </c>
      <c r="N58" s="672">
        <v>5</v>
      </c>
      <c r="O58" s="672">
        <v>74</v>
      </c>
      <c r="P58" s="672"/>
      <c r="Q58" s="672">
        <v>100</v>
      </c>
      <c r="R58" s="672"/>
      <c r="S58" s="672" t="s">
        <v>2785</v>
      </c>
      <c r="T58" s="672" t="s">
        <v>4060</v>
      </c>
      <c r="U58" s="758" t="s">
        <v>4071</v>
      </c>
      <c r="V58" s="672" t="s">
        <v>4082</v>
      </c>
      <c r="W58" s="758" t="s">
        <v>4029</v>
      </c>
      <c r="X58" s="672" t="s">
        <v>3262</v>
      </c>
      <c r="Y58" s="672" t="s">
        <v>3859</v>
      </c>
      <c r="Z58" s="672"/>
      <c r="AA58" s="672"/>
      <c r="AB58" s="672" t="s">
        <v>3870</v>
      </c>
      <c r="AC58" s="672" t="s">
        <v>3796</v>
      </c>
      <c r="AD58" s="672" t="s">
        <v>3072</v>
      </c>
    </row>
    <row r="59" spans="1:36" x14ac:dyDescent="0.2">
      <c r="A59" s="672" t="s">
        <v>2995</v>
      </c>
      <c r="B59" s="672" t="s">
        <v>2943</v>
      </c>
      <c r="C59" s="672" t="s">
        <v>3280</v>
      </c>
      <c r="D59" s="672"/>
      <c r="E59" s="672"/>
      <c r="F59" s="763">
        <v>18142</v>
      </c>
      <c r="G59" s="672"/>
      <c r="H59" s="672"/>
      <c r="I59" s="672">
        <v>5.4</v>
      </c>
      <c r="J59" s="672" t="s">
        <v>2823</v>
      </c>
      <c r="K59" s="672">
        <v>141</v>
      </c>
      <c r="L59" s="672"/>
      <c r="M59" s="672" t="s">
        <v>3573</v>
      </c>
      <c r="N59" s="672">
        <v>5</v>
      </c>
      <c r="O59" s="672">
        <v>55</v>
      </c>
      <c r="P59" s="672"/>
      <c r="Q59" s="672">
        <v>75</v>
      </c>
      <c r="R59" s="672"/>
      <c r="S59" s="672" t="s">
        <v>2785</v>
      </c>
      <c r="T59" s="672" t="s">
        <v>4065</v>
      </c>
      <c r="U59" s="672" t="s">
        <v>4075</v>
      </c>
      <c r="V59" s="672" t="s">
        <v>4087</v>
      </c>
      <c r="W59" s="672" t="s">
        <v>4096</v>
      </c>
      <c r="X59" s="672" t="s">
        <v>3266</v>
      </c>
      <c r="Y59" s="672" t="s">
        <v>3867</v>
      </c>
      <c r="Z59" s="672"/>
      <c r="AA59" s="672"/>
      <c r="AB59" s="672" t="s">
        <v>3232</v>
      </c>
      <c r="AC59" s="672"/>
      <c r="AD59" s="672" t="s">
        <v>3072</v>
      </c>
    </row>
    <row r="60" spans="1:36" x14ac:dyDescent="0.2">
      <c r="A60" s="672" t="s">
        <v>3001</v>
      </c>
      <c r="B60" s="672" t="s">
        <v>2829</v>
      </c>
      <c r="C60" s="672" t="s">
        <v>3197</v>
      </c>
      <c r="D60" s="672" t="s">
        <v>3198</v>
      </c>
      <c r="E60" s="672"/>
      <c r="F60" s="763">
        <v>22890</v>
      </c>
      <c r="G60" s="672"/>
      <c r="H60" s="672"/>
      <c r="I60" s="672">
        <v>5.7</v>
      </c>
      <c r="J60" s="759" t="s">
        <v>2500</v>
      </c>
      <c r="K60" s="672">
        <v>128</v>
      </c>
      <c r="L60" s="672"/>
      <c r="M60" s="672" t="s">
        <v>3140</v>
      </c>
      <c r="N60" s="672">
        <v>5</v>
      </c>
      <c r="O60" s="672">
        <v>93</v>
      </c>
      <c r="P60" s="672"/>
      <c r="Q60" s="672">
        <v>126</v>
      </c>
      <c r="R60" s="672"/>
      <c r="S60" s="672" t="s">
        <v>2785</v>
      </c>
      <c r="T60" s="758">
        <v>4518</v>
      </c>
      <c r="U60" s="758">
        <v>2076</v>
      </c>
      <c r="V60" s="758">
        <v>1434</v>
      </c>
      <c r="W60" s="758">
        <v>1229</v>
      </c>
      <c r="X60" s="672" t="s">
        <v>3205</v>
      </c>
      <c r="Y60" s="672" t="s">
        <v>3691</v>
      </c>
      <c r="Z60" s="672"/>
      <c r="AA60" s="672"/>
      <c r="AB60" s="758"/>
      <c r="AC60" s="672"/>
      <c r="AD60" s="672" t="s">
        <v>3209</v>
      </c>
      <c r="AE60" s="304" t="s">
        <v>2781</v>
      </c>
    </row>
    <row r="61" spans="1:36" x14ac:dyDescent="0.2">
      <c r="A61" s="758" t="s">
        <v>3001</v>
      </c>
      <c r="B61" s="758" t="s">
        <v>3241</v>
      </c>
      <c r="C61" s="758" t="s">
        <v>3245</v>
      </c>
      <c r="D61" s="758"/>
      <c r="E61" s="758"/>
      <c r="F61" s="763">
        <v>23290</v>
      </c>
      <c r="G61" s="758"/>
      <c r="H61" s="758"/>
      <c r="I61" s="758">
        <v>6.6</v>
      </c>
      <c r="J61" s="672" t="s">
        <v>2500</v>
      </c>
      <c r="K61" s="758">
        <v>148</v>
      </c>
      <c r="L61" s="758"/>
      <c r="M61" s="758" t="s">
        <v>3140</v>
      </c>
      <c r="N61" s="758">
        <v>5</v>
      </c>
      <c r="O61" s="758">
        <v>96</v>
      </c>
      <c r="P61" s="758"/>
      <c r="Q61" s="758">
        <v>131</v>
      </c>
      <c r="R61" s="758"/>
      <c r="S61" s="758" t="s">
        <v>2785</v>
      </c>
      <c r="T61" s="758">
        <v>4294</v>
      </c>
      <c r="U61" s="758">
        <v>1772</v>
      </c>
      <c r="V61" s="758">
        <v>1605</v>
      </c>
      <c r="W61" s="758">
        <v>1243</v>
      </c>
      <c r="X61" s="758"/>
      <c r="Y61" s="758"/>
      <c r="Z61" s="758"/>
      <c r="AA61" s="758"/>
      <c r="AB61" s="758" t="s">
        <v>3209</v>
      </c>
      <c r="AC61" s="758" t="s">
        <v>2940</v>
      </c>
      <c r="AD61" s="758"/>
      <c r="AF61" s="304" t="s">
        <v>2721</v>
      </c>
      <c r="AG61" s="304" t="s">
        <v>3182</v>
      </c>
    </row>
    <row r="62" spans="1:36" x14ac:dyDescent="0.2">
      <c r="A62" s="758" t="s">
        <v>3001</v>
      </c>
      <c r="B62" s="758" t="s">
        <v>2829</v>
      </c>
      <c r="C62" s="758" t="s">
        <v>3271</v>
      </c>
      <c r="D62" s="758"/>
      <c r="E62" s="758"/>
      <c r="F62" s="763">
        <v>24390</v>
      </c>
      <c r="G62" s="758"/>
      <c r="H62" s="758"/>
      <c r="I62" s="758">
        <v>4.5999999999999996</v>
      </c>
      <c r="J62" s="672" t="s">
        <v>2500</v>
      </c>
      <c r="K62" s="758">
        <v>121</v>
      </c>
      <c r="L62" s="758"/>
      <c r="M62" s="758" t="s">
        <v>3140</v>
      </c>
      <c r="N62" s="758">
        <v>5</v>
      </c>
      <c r="O62" s="758">
        <v>88</v>
      </c>
      <c r="P62" s="758"/>
      <c r="Q62" s="758">
        <v>120</v>
      </c>
      <c r="R62" s="758"/>
      <c r="S62" s="758" t="s">
        <v>2785</v>
      </c>
      <c r="T62" s="758">
        <v>4518</v>
      </c>
      <c r="U62" s="758">
        <v>2079</v>
      </c>
      <c r="V62" s="758">
        <v>1434</v>
      </c>
      <c r="W62" s="758">
        <v>1342</v>
      </c>
      <c r="X62" s="758"/>
      <c r="Y62" s="758"/>
      <c r="Z62" s="758"/>
      <c r="AA62" s="758"/>
      <c r="AB62" s="758" t="s">
        <v>3277</v>
      </c>
      <c r="AC62" s="758" t="s">
        <v>3841</v>
      </c>
      <c r="AD62" s="758"/>
    </row>
    <row r="63" spans="1:36" x14ac:dyDescent="0.2">
      <c r="A63" s="758" t="s">
        <v>3001</v>
      </c>
      <c r="B63" s="758" t="s">
        <v>3241</v>
      </c>
      <c r="C63" s="758" t="s">
        <v>3873</v>
      </c>
      <c r="D63" s="758"/>
      <c r="E63" s="758"/>
      <c r="F63" s="763">
        <v>25790</v>
      </c>
      <c r="G63" s="758"/>
      <c r="H63" s="758"/>
      <c r="I63" s="758">
        <v>5</v>
      </c>
      <c r="J63" s="672" t="s">
        <v>2500</v>
      </c>
      <c r="K63" s="758">
        <v>132</v>
      </c>
      <c r="L63" s="758"/>
      <c r="M63" s="758" t="s">
        <v>3140</v>
      </c>
      <c r="N63" s="758">
        <v>5</v>
      </c>
      <c r="O63" s="758">
        <v>88</v>
      </c>
      <c r="P63" s="758"/>
      <c r="Q63" s="758">
        <v>120</v>
      </c>
      <c r="R63" s="758"/>
      <c r="S63" s="758" t="s">
        <v>2785</v>
      </c>
      <c r="T63" s="758">
        <v>4294</v>
      </c>
      <c r="U63" s="758">
        <v>1772</v>
      </c>
      <c r="V63" s="758">
        <v>1689</v>
      </c>
      <c r="W63" s="758">
        <v>1395</v>
      </c>
      <c r="X63" s="758"/>
      <c r="Y63" s="758"/>
      <c r="Z63" s="758"/>
      <c r="AA63" s="758"/>
      <c r="AB63" s="758" t="s">
        <v>3888</v>
      </c>
      <c r="AC63" s="758" t="s">
        <v>2940</v>
      </c>
      <c r="AD63" s="758"/>
      <c r="AI63" s="304" t="s">
        <v>3079</v>
      </c>
      <c r="AJ63" s="304" t="s">
        <v>2781</v>
      </c>
    </row>
    <row r="64" spans="1:36" x14ac:dyDescent="0.2">
      <c r="A64" s="672" t="s">
        <v>3001</v>
      </c>
      <c r="B64" s="672" t="s">
        <v>2829</v>
      </c>
      <c r="C64" s="672" t="s">
        <v>3271</v>
      </c>
      <c r="D64" s="672"/>
      <c r="E64" s="672"/>
      <c r="F64" s="763">
        <v>24390</v>
      </c>
      <c r="G64" s="672"/>
      <c r="H64" s="672"/>
      <c r="I64" s="672">
        <v>4.5999999999999996</v>
      </c>
      <c r="J64" s="672" t="s">
        <v>2823</v>
      </c>
      <c r="K64" s="672">
        <v>121</v>
      </c>
      <c r="L64" s="672"/>
      <c r="M64" s="672" t="s">
        <v>3140</v>
      </c>
      <c r="N64" s="672">
        <v>5</v>
      </c>
      <c r="O64" s="672">
        <v>88</v>
      </c>
      <c r="P64" s="672"/>
      <c r="Q64" s="672">
        <v>120</v>
      </c>
      <c r="R64" s="672"/>
      <c r="S64" s="672" t="s">
        <v>2785</v>
      </c>
      <c r="T64" s="758" t="s">
        <v>3997</v>
      </c>
      <c r="U64" s="672" t="s">
        <v>4008</v>
      </c>
      <c r="V64" s="758" t="s">
        <v>3952</v>
      </c>
      <c r="W64" s="672" t="s">
        <v>4034</v>
      </c>
      <c r="X64" s="672"/>
      <c r="Y64" s="672"/>
      <c r="Z64" s="672"/>
      <c r="AA64" s="672"/>
      <c r="AB64" s="672" t="s">
        <v>3277</v>
      </c>
      <c r="AC64" s="672" t="s">
        <v>3841</v>
      </c>
      <c r="AD64" s="672"/>
    </row>
    <row r="65" spans="1:36" x14ac:dyDescent="0.2">
      <c r="A65" s="672" t="s">
        <v>3096</v>
      </c>
      <c r="B65" s="672" t="s">
        <v>2902</v>
      </c>
      <c r="C65" s="672" t="s">
        <v>3138</v>
      </c>
      <c r="D65" s="672"/>
      <c r="E65" s="672"/>
      <c r="F65" s="763">
        <v>10990</v>
      </c>
      <c r="G65" s="672"/>
      <c r="H65" s="672"/>
      <c r="I65" s="672">
        <v>4.8</v>
      </c>
      <c r="J65" s="672" t="s">
        <v>2500</v>
      </c>
      <c r="K65" s="672">
        <v>110</v>
      </c>
      <c r="L65" s="672"/>
      <c r="M65" s="672" t="s">
        <v>3572</v>
      </c>
      <c r="N65" s="672">
        <v>4</v>
      </c>
      <c r="O65" s="672">
        <v>49</v>
      </c>
      <c r="P65" s="672"/>
      <c r="Q65" s="672">
        <v>67</v>
      </c>
      <c r="R65" s="672"/>
      <c r="S65" s="672" t="s">
        <v>2762</v>
      </c>
      <c r="T65" s="758">
        <v>3670</v>
      </c>
      <c r="U65" s="758">
        <v>1680</v>
      </c>
      <c r="V65" s="758">
        <v>1480</v>
      </c>
      <c r="W65" s="758">
        <v>924</v>
      </c>
      <c r="X65" s="672" t="s">
        <v>3574</v>
      </c>
      <c r="Y65" s="672"/>
      <c r="Z65" s="672"/>
      <c r="AA65" s="672" t="s">
        <v>3593</v>
      </c>
      <c r="AB65" s="672"/>
      <c r="AC65" s="672"/>
      <c r="AD65" s="672" t="s">
        <v>3606</v>
      </c>
      <c r="AE65" s="304" t="s">
        <v>2781</v>
      </c>
    </row>
    <row r="66" spans="1:36" x14ac:dyDescent="0.2">
      <c r="A66" s="672" t="s">
        <v>3096</v>
      </c>
      <c r="B66" s="672" t="s">
        <v>2934</v>
      </c>
      <c r="C66" s="672" t="s">
        <v>3200</v>
      </c>
      <c r="D66" s="760"/>
      <c r="E66" s="672"/>
      <c r="F66" s="763">
        <v>17190</v>
      </c>
      <c r="G66" s="672"/>
      <c r="H66" s="672"/>
      <c r="I66" s="672">
        <v>5.5</v>
      </c>
      <c r="J66" s="672" t="s">
        <v>2500</v>
      </c>
      <c r="K66" s="672">
        <v>126</v>
      </c>
      <c r="L66" s="672"/>
      <c r="M66" s="672" t="s">
        <v>3572</v>
      </c>
      <c r="N66" s="672">
        <v>5</v>
      </c>
      <c r="O66" s="672">
        <v>74</v>
      </c>
      <c r="P66" s="672"/>
      <c r="Q66" s="672">
        <v>100</v>
      </c>
      <c r="R66" s="672"/>
      <c r="S66" s="672" t="s">
        <v>2762</v>
      </c>
      <c r="T66" s="758">
        <v>4035</v>
      </c>
      <c r="U66" s="758">
        <v>1734</v>
      </c>
      <c r="V66" s="758">
        <v>1474</v>
      </c>
      <c r="W66" s="672">
        <v>1065</v>
      </c>
      <c r="X66" s="672" t="s">
        <v>3640</v>
      </c>
      <c r="Y66" s="672" t="s">
        <v>3641</v>
      </c>
      <c r="Z66" s="672" t="s">
        <v>3640</v>
      </c>
      <c r="AA66" s="672" t="s">
        <v>3642</v>
      </c>
      <c r="AB66" s="672" t="s">
        <v>3168</v>
      </c>
      <c r="AC66" s="672" t="s">
        <v>3643</v>
      </c>
      <c r="AD66" s="672" t="s">
        <v>3187</v>
      </c>
    </row>
    <row r="67" spans="1:36" x14ac:dyDescent="0.2">
      <c r="A67" s="759" t="s">
        <v>3096</v>
      </c>
      <c r="B67" s="759" t="s">
        <v>3674</v>
      </c>
      <c r="C67" s="759" t="s">
        <v>3200</v>
      </c>
      <c r="D67" s="759"/>
      <c r="E67" s="759"/>
      <c r="F67" s="764">
        <v>20590</v>
      </c>
      <c r="G67" s="759"/>
      <c r="H67" s="759"/>
      <c r="I67" s="759">
        <v>5.4</v>
      </c>
      <c r="J67" s="672" t="s">
        <v>2500</v>
      </c>
      <c r="K67" s="759">
        <v>123</v>
      </c>
      <c r="L67" s="759"/>
      <c r="M67" s="759" t="s">
        <v>3572</v>
      </c>
      <c r="N67" s="759">
        <v>5</v>
      </c>
      <c r="O67" s="759">
        <v>88</v>
      </c>
      <c r="P67" s="759"/>
      <c r="Q67" s="759">
        <v>120</v>
      </c>
      <c r="R67" s="759"/>
      <c r="S67" s="759" t="s">
        <v>2785</v>
      </c>
      <c r="T67" s="761">
        <v>4585</v>
      </c>
      <c r="U67" s="761">
        <v>2039</v>
      </c>
      <c r="V67" s="761">
        <v>1465</v>
      </c>
      <c r="W67" s="761">
        <v>1231</v>
      </c>
      <c r="X67" s="759" t="s">
        <v>3687</v>
      </c>
      <c r="Y67" s="759" t="s">
        <v>3688</v>
      </c>
      <c r="Z67" s="759"/>
      <c r="AA67" s="759"/>
      <c r="AB67" s="759"/>
      <c r="AC67" s="759"/>
      <c r="AD67" s="759" t="s">
        <v>3219</v>
      </c>
    </row>
    <row r="68" spans="1:36" x14ac:dyDescent="0.2">
      <c r="A68" s="758" t="s">
        <v>3096</v>
      </c>
      <c r="B68" s="758" t="s">
        <v>3227</v>
      </c>
      <c r="C68" s="758" t="s">
        <v>3229</v>
      </c>
      <c r="D68" s="672"/>
      <c r="E68" s="758"/>
      <c r="F68" s="763">
        <v>20690</v>
      </c>
      <c r="G68" s="672"/>
      <c r="H68" s="672"/>
      <c r="I68" s="672">
        <v>6.2</v>
      </c>
      <c r="J68" s="759" t="s">
        <v>2500</v>
      </c>
      <c r="K68" s="672">
        <v>142</v>
      </c>
      <c r="L68" s="672"/>
      <c r="M68" s="672" t="s">
        <v>3572</v>
      </c>
      <c r="N68" s="672">
        <v>5</v>
      </c>
      <c r="O68" s="672">
        <v>88</v>
      </c>
      <c r="P68" s="672"/>
      <c r="Q68" s="672">
        <v>120</v>
      </c>
      <c r="R68" s="672"/>
      <c r="S68" s="672" t="s">
        <v>2785</v>
      </c>
      <c r="T68" s="758">
        <v>4165</v>
      </c>
      <c r="U68" s="758">
        <v>2070</v>
      </c>
      <c r="V68" s="758">
        <v>1550</v>
      </c>
      <c r="W68" s="758">
        <v>1223</v>
      </c>
      <c r="X68" s="672"/>
      <c r="Y68" s="672"/>
      <c r="Z68" s="672"/>
      <c r="AA68" s="672"/>
      <c r="AB68" s="672" t="s">
        <v>3730</v>
      </c>
      <c r="AC68" s="672"/>
      <c r="AD68" s="672"/>
      <c r="AE68" s="304" t="s">
        <v>3234</v>
      </c>
    </row>
    <row r="69" spans="1:36" x14ac:dyDescent="0.2">
      <c r="A69" s="672" t="s">
        <v>3096</v>
      </c>
      <c r="B69" s="763" t="s">
        <v>3130</v>
      </c>
      <c r="C69" s="763" t="s">
        <v>2952</v>
      </c>
      <c r="D69" s="763"/>
      <c r="E69" s="763"/>
      <c r="F69" s="763">
        <v>22590</v>
      </c>
      <c r="G69" s="763"/>
      <c r="H69" s="763"/>
      <c r="I69" s="672">
        <v>4.5999999999999996</v>
      </c>
      <c r="J69" s="672" t="s">
        <v>2500</v>
      </c>
      <c r="K69" s="672">
        <v>118</v>
      </c>
      <c r="L69" s="763"/>
      <c r="M69" s="763" t="s">
        <v>3572</v>
      </c>
      <c r="N69" s="672">
        <v>5</v>
      </c>
      <c r="O69" s="672">
        <v>85</v>
      </c>
      <c r="P69" s="763"/>
      <c r="Q69" s="672">
        <v>115</v>
      </c>
      <c r="R69" s="763"/>
      <c r="S69" s="763" t="s">
        <v>2785</v>
      </c>
      <c r="T69" s="758">
        <v>4340</v>
      </c>
      <c r="U69" s="758">
        <v>1795</v>
      </c>
      <c r="V69" s="763">
        <v>1455</v>
      </c>
      <c r="W69" s="763">
        <v>1313</v>
      </c>
      <c r="X69" s="763"/>
      <c r="Y69" s="763"/>
      <c r="Z69" s="763"/>
      <c r="AA69" s="763"/>
      <c r="AB69" s="763" t="s">
        <v>3219</v>
      </c>
      <c r="AC69" s="763"/>
      <c r="AD69" s="763"/>
      <c r="AE69" s="308" t="s">
        <v>3153</v>
      </c>
      <c r="AF69" s="308"/>
      <c r="AG69" s="308"/>
      <c r="AH69" s="308"/>
    </row>
    <row r="70" spans="1:36" x14ac:dyDescent="0.2">
      <c r="A70" s="672" t="s">
        <v>3096</v>
      </c>
      <c r="B70" s="672" t="s">
        <v>3196</v>
      </c>
      <c r="C70" s="672" t="s">
        <v>2952</v>
      </c>
      <c r="D70" s="672"/>
      <c r="E70" s="672"/>
      <c r="F70" s="763">
        <v>22590</v>
      </c>
      <c r="G70" s="672"/>
      <c r="H70" s="672"/>
      <c r="I70" s="672">
        <v>4.5</v>
      </c>
      <c r="J70" s="759" t="s">
        <v>2500</v>
      </c>
      <c r="K70" s="672">
        <v>118</v>
      </c>
      <c r="L70" s="672"/>
      <c r="M70" s="672" t="s">
        <v>3572</v>
      </c>
      <c r="N70" s="672">
        <v>5</v>
      </c>
      <c r="O70" s="672">
        <v>85</v>
      </c>
      <c r="P70" s="672"/>
      <c r="Q70" s="672">
        <v>116</v>
      </c>
      <c r="R70" s="672"/>
      <c r="S70" s="672" t="s">
        <v>2785</v>
      </c>
      <c r="T70" s="758">
        <v>4585</v>
      </c>
      <c r="U70" s="758">
        <v>2039</v>
      </c>
      <c r="V70" s="758">
        <v>1465</v>
      </c>
      <c r="W70" s="758">
        <v>1370</v>
      </c>
      <c r="X70" s="672" t="s">
        <v>2952</v>
      </c>
      <c r="Y70" s="672" t="s">
        <v>3813</v>
      </c>
      <c r="Z70" s="672"/>
      <c r="AA70" s="672"/>
      <c r="AB70" s="672" t="s">
        <v>3219</v>
      </c>
      <c r="AC70" s="672"/>
      <c r="AD70" s="672"/>
    </row>
    <row r="71" spans="1:36" x14ac:dyDescent="0.2">
      <c r="A71" s="672" t="s">
        <v>3096</v>
      </c>
      <c r="B71" s="672" t="s">
        <v>3227</v>
      </c>
      <c r="C71" s="672" t="s">
        <v>2952</v>
      </c>
      <c r="D71" s="672"/>
      <c r="E71" s="672"/>
      <c r="F71" s="763">
        <v>22690</v>
      </c>
      <c r="G71" s="672"/>
      <c r="H71" s="672"/>
      <c r="I71" s="672">
        <v>5</v>
      </c>
      <c r="J71" s="759" t="s">
        <v>2500</v>
      </c>
      <c r="K71" s="672">
        <v>129</v>
      </c>
      <c r="L71" s="672"/>
      <c r="M71" s="672" t="s">
        <v>3572</v>
      </c>
      <c r="N71" s="672">
        <v>5</v>
      </c>
      <c r="O71" s="672">
        <v>85</v>
      </c>
      <c r="P71" s="672"/>
      <c r="Q71" s="672">
        <v>116</v>
      </c>
      <c r="R71" s="672"/>
      <c r="S71" s="672" t="s">
        <v>2785</v>
      </c>
      <c r="T71" s="758">
        <v>4165</v>
      </c>
      <c r="U71" s="758">
        <v>2070</v>
      </c>
      <c r="V71" s="758">
        <v>1550</v>
      </c>
      <c r="W71" s="758">
        <v>1318</v>
      </c>
      <c r="X71" s="672" t="s">
        <v>2952</v>
      </c>
      <c r="Y71" s="672" t="s">
        <v>3860</v>
      </c>
      <c r="Z71" s="672"/>
      <c r="AA71" s="672"/>
      <c r="AB71" s="672" t="s">
        <v>3730</v>
      </c>
      <c r="AC71" s="672"/>
      <c r="AD71" s="672"/>
    </row>
    <row r="72" spans="1:36" x14ac:dyDescent="0.2">
      <c r="A72" s="672" t="s">
        <v>3096</v>
      </c>
      <c r="B72" s="672" t="s">
        <v>3130</v>
      </c>
      <c r="C72" s="672" t="s">
        <v>2952</v>
      </c>
      <c r="D72" s="672"/>
      <c r="E72" s="672"/>
      <c r="F72" s="763">
        <v>22590</v>
      </c>
      <c r="G72" s="672"/>
      <c r="H72" s="672"/>
      <c r="I72" s="672">
        <v>4.5999999999999996</v>
      </c>
      <c r="J72" s="672" t="s">
        <v>2823</v>
      </c>
      <c r="K72" s="672">
        <v>118</v>
      </c>
      <c r="L72" s="672"/>
      <c r="M72" s="672" t="s">
        <v>3572</v>
      </c>
      <c r="N72" s="672">
        <v>5</v>
      </c>
      <c r="O72" s="672">
        <v>85</v>
      </c>
      <c r="P72" s="672"/>
      <c r="Q72" s="672">
        <v>115</v>
      </c>
      <c r="R72" s="672"/>
      <c r="S72" s="672" t="s">
        <v>2785</v>
      </c>
      <c r="T72" s="758" t="s">
        <v>3924</v>
      </c>
      <c r="U72" s="758" t="s">
        <v>3939</v>
      </c>
      <c r="V72" s="758" t="s">
        <v>3955</v>
      </c>
      <c r="W72" s="672" t="s">
        <v>3969</v>
      </c>
      <c r="X72" s="672"/>
      <c r="Y72" s="672"/>
      <c r="Z72" s="672"/>
      <c r="AA72" s="672"/>
      <c r="AB72" s="672" t="s">
        <v>3219</v>
      </c>
      <c r="AC72" s="672"/>
      <c r="AD72" s="672"/>
      <c r="AF72" s="304" t="s">
        <v>3103</v>
      </c>
      <c r="AG72" s="309" t="s">
        <v>3104</v>
      </c>
      <c r="AH72" s="309"/>
      <c r="AI72" s="309" t="s">
        <v>3094</v>
      </c>
      <c r="AJ72" s="309" t="s">
        <v>3080</v>
      </c>
    </row>
    <row r="73" spans="1:36" x14ac:dyDescent="0.2">
      <c r="A73" s="672" t="s">
        <v>3096</v>
      </c>
      <c r="B73" s="672" t="s">
        <v>3196</v>
      </c>
      <c r="C73" s="672" t="s">
        <v>2952</v>
      </c>
      <c r="D73" s="672"/>
      <c r="E73" s="672"/>
      <c r="F73" s="763">
        <v>22590</v>
      </c>
      <c r="G73" s="672"/>
      <c r="H73" s="672"/>
      <c r="I73" s="672">
        <v>4.5</v>
      </c>
      <c r="J73" s="672" t="s">
        <v>2823</v>
      </c>
      <c r="K73" s="672">
        <v>118</v>
      </c>
      <c r="L73" s="672"/>
      <c r="M73" s="672" t="s">
        <v>3572</v>
      </c>
      <c r="N73" s="672">
        <v>5</v>
      </c>
      <c r="O73" s="672">
        <v>85</v>
      </c>
      <c r="P73" s="672"/>
      <c r="Q73" s="672">
        <v>116</v>
      </c>
      <c r="R73" s="672"/>
      <c r="S73" s="672" t="s">
        <v>2785</v>
      </c>
      <c r="T73" s="672" t="s">
        <v>3991</v>
      </c>
      <c r="U73" s="758" t="s">
        <v>4005</v>
      </c>
      <c r="V73" s="758" t="s">
        <v>4017</v>
      </c>
      <c r="W73" s="672" t="s">
        <v>4030</v>
      </c>
      <c r="X73" s="672" t="s">
        <v>2952</v>
      </c>
      <c r="Y73" s="672" t="s">
        <v>3813</v>
      </c>
      <c r="Z73" s="672"/>
      <c r="AA73" s="672"/>
      <c r="AB73" s="672" t="s">
        <v>3219</v>
      </c>
      <c r="AC73" s="672"/>
      <c r="AD73" s="672"/>
      <c r="AF73" s="304" t="s">
        <v>3211</v>
      </c>
      <c r="AG73" s="304" t="s">
        <v>3104</v>
      </c>
    </row>
    <row r="74" spans="1:36" x14ac:dyDescent="0.2">
      <c r="A74" s="672" t="s">
        <v>3096</v>
      </c>
      <c r="B74" s="672" t="s">
        <v>3227</v>
      </c>
      <c r="C74" s="758" t="s">
        <v>2952</v>
      </c>
      <c r="D74" s="758"/>
      <c r="E74" s="758"/>
      <c r="F74" s="763">
        <v>22690</v>
      </c>
      <c r="G74" s="758"/>
      <c r="H74" s="758"/>
      <c r="I74" s="758">
        <v>5</v>
      </c>
      <c r="J74" s="758" t="s">
        <v>2823</v>
      </c>
      <c r="K74" s="758">
        <v>129</v>
      </c>
      <c r="L74" s="758"/>
      <c r="M74" s="672" t="s">
        <v>3572</v>
      </c>
      <c r="N74" s="758">
        <v>5</v>
      </c>
      <c r="O74" s="758">
        <v>85</v>
      </c>
      <c r="P74" s="758"/>
      <c r="Q74" s="672">
        <v>116</v>
      </c>
      <c r="R74" s="758"/>
      <c r="S74" s="758" t="s">
        <v>2785</v>
      </c>
      <c r="T74" s="758" t="s">
        <v>4061</v>
      </c>
      <c r="U74" s="758" t="s">
        <v>4072</v>
      </c>
      <c r="V74" s="758" t="s">
        <v>4083</v>
      </c>
      <c r="W74" s="758" t="s">
        <v>4093</v>
      </c>
      <c r="X74" s="758" t="s">
        <v>2952</v>
      </c>
      <c r="Y74" s="758" t="s">
        <v>3860</v>
      </c>
      <c r="Z74" s="758"/>
      <c r="AA74" s="758"/>
      <c r="AB74" s="672" t="s">
        <v>3730</v>
      </c>
      <c r="AC74" s="672"/>
      <c r="AD74" s="672"/>
      <c r="AF74" s="304" t="s">
        <v>3211</v>
      </c>
      <c r="AG74" s="304" t="s">
        <v>3220</v>
      </c>
      <c r="AH74" s="304" t="s">
        <v>3221</v>
      </c>
      <c r="AI74" s="304" t="s">
        <v>3079</v>
      </c>
      <c r="AJ74" s="304" t="s">
        <v>2781</v>
      </c>
    </row>
    <row r="75" spans="1:36" x14ac:dyDescent="0.2">
      <c r="A75" s="672" t="s">
        <v>2595</v>
      </c>
      <c r="B75" s="672" t="s">
        <v>3563</v>
      </c>
      <c r="C75" s="672" t="s">
        <v>2912</v>
      </c>
      <c r="D75" s="672"/>
      <c r="E75" s="672"/>
      <c r="F75" s="763">
        <v>10190</v>
      </c>
      <c r="G75" s="672"/>
      <c r="H75" s="672"/>
      <c r="I75" s="672">
        <v>5.0999999999999996</v>
      </c>
      <c r="J75" s="759" t="s">
        <v>2500</v>
      </c>
      <c r="K75" s="672">
        <v>116</v>
      </c>
      <c r="L75" s="672"/>
      <c r="M75" s="672" t="s">
        <v>3572</v>
      </c>
      <c r="N75" s="672">
        <v>4</v>
      </c>
      <c r="O75" s="672">
        <v>49</v>
      </c>
      <c r="P75" s="672"/>
      <c r="Q75" s="672">
        <v>67</v>
      </c>
      <c r="R75" s="672"/>
      <c r="S75" s="672" t="s">
        <v>2762</v>
      </c>
      <c r="T75" s="758">
        <v>3595</v>
      </c>
      <c r="U75" s="758">
        <v>1595</v>
      </c>
      <c r="V75" s="758">
        <v>1485</v>
      </c>
      <c r="W75" s="758">
        <v>588</v>
      </c>
      <c r="X75" s="672" t="s">
        <v>3576</v>
      </c>
      <c r="Y75" s="672" t="s">
        <v>3577</v>
      </c>
      <c r="Z75" s="672"/>
      <c r="AA75" s="672" t="s">
        <v>3594</v>
      </c>
      <c r="AB75" s="672" t="s">
        <v>3595</v>
      </c>
      <c r="AC75" s="672"/>
      <c r="AD75" s="672" t="s">
        <v>3606</v>
      </c>
      <c r="AE75" s="304" t="s">
        <v>3247</v>
      </c>
      <c r="AF75" s="304" t="s">
        <v>3104</v>
      </c>
    </row>
    <row r="76" spans="1:36" x14ac:dyDescent="0.2">
      <c r="A76" s="758" t="s">
        <v>2595</v>
      </c>
      <c r="B76" s="758" t="s">
        <v>2933</v>
      </c>
      <c r="C76" s="758" t="s">
        <v>3615</v>
      </c>
      <c r="D76" s="672"/>
      <c r="E76" s="758"/>
      <c r="F76" s="763">
        <v>18090</v>
      </c>
      <c r="G76" s="672"/>
      <c r="H76" s="672"/>
      <c r="I76" s="672">
        <v>5.5</v>
      </c>
      <c r="J76" s="759" t="s">
        <v>2500</v>
      </c>
      <c r="K76" s="672">
        <v>126</v>
      </c>
      <c r="L76" s="672"/>
      <c r="M76" s="672" t="s">
        <v>3572</v>
      </c>
      <c r="N76" s="672">
        <v>5</v>
      </c>
      <c r="O76" s="672">
        <v>74</v>
      </c>
      <c r="P76" s="672"/>
      <c r="Q76" s="672">
        <v>100</v>
      </c>
      <c r="R76" s="672"/>
      <c r="S76" s="672" t="s">
        <v>2762</v>
      </c>
      <c r="T76" s="758">
        <v>4065</v>
      </c>
      <c r="U76" s="758">
        <v>1725</v>
      </c>
      <c r="V76" s="758">
        <v>1450</v>
      </c>
      <c r="W76" s="758">
        <v>1080</v>
      </c>
      <c r="X76" s="672" t="s">
        <v>3644</v>
      </c>
      <c r="Y76" s="672" t="s">
        <v>3642</v>
      </c>
      <c r="Z76" s="672" t="s">
        <v>3615</v>
      </c>
      <c r="AA76" s="672" t="s">
        <v>3645</v>
      </c>
      <c r="AB76" s="672"/>
      <c r="AC76" s="672"/>
      <c r="AD76" s="672" t="s">
        <v>3594</v>
      </c>
      <c r="AE76" s="304" t="s">
        <v>3247</v>
      </c>
      <c r="AF76" s="304" t="s">
        <v>3104</v>
      </c>
    </row>
    <row r="77" spans="1:36" x14ac:dyDescent="0.2">
      <c r="A77" s="672" t="s">
        <v>2595</v>
      </c>
      <c r="B77" s="672" t="s">
        <v>3165</v>
      </c>
      <c r="C77" s="672" t="s">
        <v>3615</v>
      </c>
      <c r="D77" s="672"/>
      <c r="E77" s="672"/>
      <c r="F77" s="763">
        <v>17790</v>
      </c>
      <c r="G77" s="672"/>
      <c r="H77" s="672"/>
      <c r="I77" s="672">
        <v>5.6</v>
      </c>
      <c r="J77" s="759" t="s">
        <v>2500</v>
      </c>
      <c r="K77" s="672">
        <v>126</v>
      </c>
      <c r="L77" s="672"/>
      <c r="M77" s="672" t="s">
        <v>3572</v>
      </c>
      <c r="N77" s="672">
        <v>5</v>
      </c>
      <c r="O77" s="672">
        <v>74</v>
      </c>
      <c r="P77" s="672"/>
      <c r="Q77" s="672">
        <v>100</v>
      </c>
      <c r="R77" s="672"/>
      <c r="S77" s="672" t="s">
        <v>2785</v>
      </c>
      <c r="T77" s="758">
        <v>4310</v>
      </c>
      <c r="U77" s="758">
        <v>1800</v>
      </c>
      <c r="V77" s="758">
        <v>1447</v>
      </c>
      <c r="W77" s="758">
        <v>1222</v>
      </c>
      <c r="X77" s="672" t="s">
        <v>3615</v>
      </c>
      <c r="Y77" s="672" t="s">
        <v>3646</v>
      </c>
      <c r="Z77" s="672" t="s">
        <v>3647</v>
      </c>
      <c r="AA77" s="672" t="s">
        <v>3648</v>
      </c>
      <c r="AB77" s="672"/>
      <c r="AC77" s="672"/>
      <c r="AD77" s="672" t="s">
        <v>3670</v>
      </c>
      <c r="AE77" s="304" t="s">
        <v>3104</v>
      </c>
    </row>
    <row r="78" spans="1:36" x14ac:dyDescent="0.2">
      <c r="A78" s="672" t="s">
        <v>2595</v>
      </c>
      <c r="B78" s="672" t="s">
        <v>3098</v>
      </c>
      <c r="C78" s="672" t="s">
        <v>3615</v>
      </c>
      <c r="D78" s="672"/>
      <c r="E78" s="672"/>
      <c r="F78" s="763">
        <v>18990</v>
      </c>
      <c r="G78" s="672"/>
      <c r="H78" s="672"/>
      <c r="I78" s="672">
        <v>5.6</v>
      </c>
      <c r="J78" s="672" t="s">
        <v>2500</v>
      </c>
      <c r="K78" s="672">
        <v>127</v>
      </c>
      <c r="L78" s="672"/>
      <c r="M78" s="672" t="s">
        <v>3572</v>
      </c>
      <c r="N78" s="672">
        <v>5</v>
      </c>
      <c r="O78" s="672">
        <v>74</v>
      </c>
      <c r="P78" s="672"/>
      <c r="Q78" s="672">
        <v>100</v>
      </c>
      <c r="R78" s="672"/>
      <c r="S78" s="672" t="s">
        <v>2785</v>
      </c>
      <c r="T78" s="758">
        <v>4600</v>
      </c>
      <c r="U78" s="758">
        <v>1800</v>
      </c>
      <c r="V78" s="758">
        <v>1465</v>
      </c>
      <c r="W78" s="758">
        <v>1259</v>
      </c>
      <c r="X78" s="672" t="s">
        <v>3206</v>
      </c>
      <c r="Y78" s="672" t="s">
        <v>3648</v>
      </c>
      <c r="Z78" s="672"/>
      <c r="AA78" s="672"/>
      <c r="AB78" s="672"/>
      <c r="AC78" s="672"/>
      <c r="AD78" s="672" t="s">
        <v>3704</v>
      </c>
    </row>
    <row r="79" spans="1:36" x14ac:dyDescent="0.2">
      <c r="A79" s="758" t="s">
        <v>2595</v>
      </c>
      <c r="B79" s="758" t="s">
        <v>3802</v>
      </c>
      <c r="C79" s="758" t="s">
        <v>3265</v>
      </c>
      <c r="D79" s="758"/>
      <c r="E79" s="758"/>
      <c r="F79" s="763">
        <v>22790</v>
      </c>
      <c r="G79" s="758"/>
      <c r="H79" s="758"/>
      <c r="I79" s="758">
        <v>4.5999999999999996</v>
      </c>
      <c r="J79" s="672" t="s">
        <v>2500</v>
      </c>
      <c r="K79" s="758">
        <v>121</v>
      </c>
      <c r="L79" s="758"/>
      <c r="M79" s="758" t="s">
        <v>3572</v>
      </c>
      <c r="N79" s="758">
        <v>5</v>
      </c>
      <c r="O79" s="758">
        <v>85</v>
      </c>
      <c r="P79" s="758"/>
      <c r="Q79" s="758">
        <v>116</v>
      </c>
      <c r="R79" s="758"/>
      <c r="S79" s="758" t="s">
        <v>2785</v>
      </c>
      <c r="T79" s="758">
        <v>4600</v>
      </c>
      <c r="U79" s="758">
        <v>1800</v>
      </c>
      <c r="V79" s="758">
        <v>1465</v>
      </c>
      <c r="W79" s="758">
        <v>1350</v>
      </c>
      <c r="X79" s="758" t="s">
        <v>3265</v>
      </c>
      <c r="Y79" s="758" t="s">
        <v>3823</v>
      </c>
      <c r="Z79" s="758"/>
      <c r="AA79" s="758"/>
      <c r="AB79" s="758" t="s">
        <v>3097</v>
      </c>
      <c r="AC79" s="758" t="s">
        <v>3842</v>
      </c>
      <c r="AD79" s="758" t="s">
        <v>3218</v>
      </c>
    </row>
    <row r="80" spans="1:36" x14ac:dyDescent="0.2">
      <c r="A80" s="761" t="s">
        <v>2595</v>
      </c>
      <c r="B80" s="758" t="s">
        <v>3872</v>
      </c>
      <c r="C80" s="758" t="s">
        <v>3874</v>
      </c>
      <c r="D80" s="758"/>
      <c r="E80" s="758"/>
      <c r="F80" s="763">
        <v>31190</v>
      </c>
      <c r="G80" s="758"/>
      <c r="H80" s="758"/>
      <c r="I80" s="758">
        <v>5.3</v>
      </c>
      <c r="J80" s="672" t="s">
        <v>2500</v>
      </c>
      <c r="K80" s="758">
        <v>135</v>
      </c>
      <c r="L80" s="758"/>
      <c r="M80" s="758" t="s">
        <v>3572</v>
      </c>
      <c r="N80" s="758">
        <v>5</v>
      </c>
      <c r="O80" s="758">
        <v>85</v>
      </c>
      <c r="P80" s="758"/>
      <c r="Q80" s="758">
        <v>116</v>
      </c>
      <c r="R80" s="758"/>
      <c r="S80" s="758" t="s">
        <v>2785</v>
      </c>
      <c r="T80" s="758">
        <v>4485</v>
      </c>
      <c r="U80" s="758">
        <v>1855</v>
      </c>
      <c r="V80" s="758">
        <v>1635</v>
      </c>
      <c r="W80" s="758">
        <v>1534</v>
      </c>
      <c r="X80" s="758" t="s">
        <v>3874</v>
      </c>
      <c r="Y80" s="758" t="s">
        <v>3880</v>
      </c>
      <c r="Z80" s="758"/>
      <c r="AA80" s="758"/>
      <c r="AB80" s="758" t="s">
        <v>3889</v>
      </c>
      <c r="AC80" s="758" t="s">
        <v>3890</v>
      </c>
      <c r="AD80" s="758" t="s">
        <v>3218</v>
      </c>
    </row>
    <row r="81" spans="1:36" x14ac:dyDescent="0.2">
      <c r="A81" s="672" t="s">
        <v>2595</v>
      </c>
      <c r="B81" s="672" t="s">
        <v>3802</v>
      </c>
      <c r="C81" s="672" t="s">
        <v>3265</v>
      </c>
      <c r="D81" s="672"/>
      <c r="E81" s="672"/>
      <c r="F81" s="763">
        <v>22790</v>
      </c>
      <c r="G81" s="672"/>
      <c r="H81" s="672"/>
      <c r="I81" s="672">
        <v>4.5999999999999996</v>
      </c>
      <c r="J81" s="672" t="s">
        <v>2823</v>
      </c>
      <c r="K81" s="672">
        <v>121</v>
      </c>
      <c r="L81" s="672"/>
      <c r="M81" s="672" t="s">
        <v>3572</v>
      </c>
      <c r="N81" s="672">
        <v>5</v>
      </c>
      <c r="O81" s="672">
        <v>85</v>
      </c>
      <c r="P81" s="672"/>
      <c r="Q81" s="672">
        <v>116</v>
      </c>
      <c r="R81" s="672"/>
      <c r="S81" s="672" t="s">
        <v>2785</v>
      </c>
      <c r="T81" s="758" t="s">
        <v>3998</v>
      </c>
      <c r="U81" s="758" t="s">
        <v>4009</v>
      </c>
      <c r="V81" s="758" t="s">
        <v>4017</v>
      </c>
      <c r="W81" s="672" t="s">
        <v>4035</v>
      </c>
      <c r="X81" s="672" t="s">
        <v>3265</v>
      </c>
      <c r="Y81" s="672" t="s">
        <v>3823</v>
      </c>
      <c r="Z81" s="672"/>
      <c r="AA81" s="672"/>
      <c r="AB81" s="672" t="s">
        <v>3097</v>
      </c>
      <c r="AC81" s="672" t="s">
        <v>3842</v>
      </c>
      <c r="AD81" s="672" t="s">
        <v>3218</v>
      </c>
    </row>
    <row r="82" spans="1:36" x14ac:dyDescent="0.2">
      <c r="A82" s="672" t="s">
        <v>3099</v>
      </c>
      <c r="B82" s="672">
        <v>2</v>
      </c>
      <c r="C82" s="672" t="s">
        <v>3611</v>
      </c>
      <c r="D82" s="672"/>
      <c r="E82" s="672"/>
      <c r="F82" s="763">
        <v>14690</v>
      </c>
      <c r="G82" s="672"/>
      <c r="H82" s="672"/>
      <c r="I82" s="672">
        <v>5.3</v>
      </c>
      <c r="J82" s="672" t="s">
        <v>2500</v>
      </c>
      <c r="K82" s="672">
        <v>120</v>
      </c>
      <c r="L82" s="672"/>
      <c r="M82" s="672" t="s">
        <v>3616</v>
      </c>
      <c r="N82" s="672">
        <v>5</v>
      </c>
      <c r="O82" s="672">
        <v>55</v>
      </c>
      <c r="P82" s="672"/>
      <c r="Q82" s="672">
        <v>75</v>
      </c>
      <c r="R82" s="672"/>
      <c r="S82" s="672" t="s">
        <v>2785</v>
      </c>
      <c r="T82" s="758">
        <v>4070</v>
      </c>
      <c r="U82" s="758">
        <v>1695</v>
      </c>
      <c r="V82" s="758">
        <v>1495</v>
      </c>
      <c r="W82" s="758">
        <v>1100</v>
      </c>
      <c r="X82" s="672" t="s">
        <v>2935</v>
      </c>
      <c r="Y82" s="672" t="s">
        <v>3627</v>
      </c>
      <c r="Z82" s="672"/>
      <c r="AA82" s="672"/>
      <c r="AB82" s="672"/>
      <c r="AC82" s="672"/>
      <c r="AD82" s="672" t="s">
        <v>3656</v>
      </c>
    </row>
    <row r="83" spans="1:36" x14ac:dyDescent="0.2">
      <c r="A83" s="758" t="s">
        <v>3100</v>
      </c>
      <c r="B83" s="758" t="s">
        <v>2799</v>
      </c>
      <c r="C83" s="758" t="s">
        <v>3679</v>
      </c>
      <c r="D83" s="672"/>
      <c r="E83" s="758"/>
      <c r="F83" s="763">
        <v>29670</v>
      </c>
      <c r="G83" s="672"/>
      <c r="H83" s="672"/>
      <c r="I83" s="672">
        <v>5.9</v>
      </c>
      <c r="J83" s="759" t="s">
        <v>2500</v>
      </c>
      <c r="K83" s="672">
        <v>133</v>
      </c>
      <c r="L83" s="672"/>
      <c r="M83" s="672" t="s">
        <v>3680</v>
      </c>
      <c r="N83" s="672">
        <v>5</v>
      </c>
      <c r="O83" s="672">
        <v>100</v>
      </c>
      <c r="P83" s="672"/>
      <c r="Q83" s="672">
        <v>136</v>
      </c>
      <c r="R83" s="672"/>
      <c r="S83" s="672" t="s">
        <v>2785</v>
      </c>
      <c r="T83" s="758">
        <v>4549</v>
      </c>
      <c r="U83" s="758">
        <v>1796</v>
      </c>
      <c r="V83" s="758">
        <v>1446</v>
      </c>
      <c r="W83" s="758">
        <v>1360</v>
      </c>
      <c r="X83" s="672" t="s">
        <v>3202</v>
      </c>
      <c r="Y83" s="672" t="s">
        <v>3694</v>
      </c>
      <c r="Z83" s="672"/>
      <c r="AA83" s="672"/>
      <c r="AB83" s="672"/>
      <c r="AC83" s="672"/>
      <c r="AD83" s="672"/>
    </row>
    <row r="84" spans="1:36" x14ac:dyDescent="0.2">
      <c r="A84" s="759" t="s">
        <v>3100</v>
      </c>
      <c r="B84" s="672" t="s">
        <v>2799</v>
      </c>
      <c r="C84" s="672" t="s">
        <v>3772</v>
      </c>
      <c r="D84" s="672"/>
      <c r="E84" s="672"/>
      <c r="F84" s="763">
        <v>29590</v>
      </c>
      <c r="G84" s="672"/>
      <c r="H84" s="672"/>
      <c r="I84" s="672">
        <v>4.5</v>
      </c>
      <c r="J84" s="672" t="s">
        <v>2500</v>
      </c>
      <c r="K84" s="672">
        <v>118</v>
      </c>
      <c r="L84" s="672"/>
      <c r="M84" s="672" t="s">
        <v>3573</v>
      </c>
      <c r="N84" s="672">
        <v>5</v>
      </c>
      <c r="O84" s="672">
        <v>70</v>
      </c>
      <c r="P84" s="672"/>
      <c r="Q84" s="672">
        <v>95</v>
      </c>
      <c r="R84" s="672"/>
      <c r="S84" s="672" t="s">
        <v>2785</v>
      </c>
      <c r="T84" s="758">
        <v>4419</v>
      </c>
      <c r="U84" s="758">
        <v>1796</v>
      </c>
      <c r="V84" s="758">
        <v>1440</v>
      </c>
      <c r="W84" s="758">
        <v>1425</v>
      </c>
      <c r="X84" s="672" t="s">
        <v>3784</v>
      </c>
      <c r="Y84" s="672" t="s">
        <v>3785</v>
      </c>
      <c r="Z84" s="672" t="s">
        <v>3786</v>
      </c>
      <c r="AA84" s="672" t="s">
        <v>3787</v>
      </c>
      <c r="AB84" s="672"/>
      <c r="AC84" s="672"/>
      <c r="AD84" s="672"/>
      <c r="AE84" s="308" t="s">
        <v>3154</v>
      </c>
      <c r="AF84" s="308"/>
      <c r="AG84" s="308"/>
      <c r="AH84" s="308"/>
    </row>
    <row r="85" spans="1:36" x14ac:dyDescent="0.2">
      <c r="A85" s="672" t="s">
        <v>3100</v>
      </c>
      <c r="B85" s="672" t="s">
        <v>3800</v>
      </c>
      <c r="C85" s="672" t="s">
        <v>3807</v>
      </c>
      <c r="D85" s="672"/>
      <c r="E85" s="672"/>
      <c r="F85" s="763">
        <v>35460</v>
      </c>
      <c r="G85" s="672"/>
      <c r="H85" s="672"/>
      <c r="I85" s="672">
        <v>4.5</v>
      </c>
      <c r="J85" s="759" t="s">
        <v>2500</v>
      </c>
      <c r="K85" s="672">
        <v>118</v>
      </c>
      <c r="L85" s="672"/>
      <c r="M85" s="672" t="s">
        <v>3573</v>
      </c>
      <c r="N85" s="672">
        <v>5</v>
      </c>
      <c r="O85" s="672">
        <v>85</v>
      </c>
      <c r="P85" s="672"/>
      <c r="Q85" s="672">
        <v>116</v>
      </c>
      <c r="R85" s="672"/>
      <c r="S85" s="672" t="s">
        <v>2785</v>
      </c>
      <c r="T85" s="758">
        <v>4688</v>
      </c>
      <c r="U85" s="758">
        <v>1830</v>
      </c>
      <c r="V85" s="758">
        <v>1439</v>
      </c>
      <c r="W85" s="758">
        <v>1470</v>
      </c>
      <c r="X85" s="672" t="s">
        <v>3814</v>
      </c>
      <c r="Y85" s="672" t="s">
        <v>3787</v>
      </c>
      <c r="Z85" s="672" t="s">
        <v>3274</v>
      </c>
      <c r="AA85" s="672" t="s">
        <v>3815</v>
      </c>
      <c r="AB85" s="672"/>
      <c r="AC85" s="672"/>
      <c r="AD85" s="672"/>
      <c r="AF85" s="304" t="s">
        <v>3183</v>
      </c>
      <c r="AG85" s="304" t="s">
        <v>3184</v>
      </c>
      <c r="AI85" s="304" t="s">
        <v>3094</v>
      </c>
      <c r="AJ85" s="304" t="s">
        <v>3080</v>
      </c>
    </row>
    <row r="86" spans="1:36" x14ac:dyDescent="0.2">
      <c r="A86" s="758" t="s">
        <v>3100</v>
      </c>
      <c r="B86" s="758" t="s">
        <v>2942</v>
      </c>
      <c r="C86" s="758" t="s">
        <v>3809</v>
      </c>
      <c r="D86" s="672"/>
      <c r="E86" s="758"/>
      <c r="F86" s="763">
        <v>40470</v>
      </c>
      <c r="G86" s="672"/>
      <c r="H86" s="672"/>
      <c r="I86" s="672">
        <v>4.8</v>
      </c>
      <c r="J86" s="759" t="s">
        <v>2500</v>
      </c>
      <c r="K86" s="672">
        <v>127</v>
      </c>
      <c r="L86" s="672"/>
      <c r="M86" s="672" t="s">
        <v>3811</v>
      </c>
      <c r="N86" s="672">
        <v>5</v>
      </c>
      <c r="O86" s="672">
        <v>118</v>
      </c>
      <c r="P86" s="672"/>
      <c r="Q86" s="672">
        <v>160</v>
      </c>
      <c r="R86" s="672"/>
      <c r="S86" s="672" t="s">
        <v>2785</v>
      </c>
      <c r="T86" s="758">
        <v>4686</v>
      </c>
      <c r="U86" s="758">
        <v>1810</v>
      </c>
      <c r="V86" s="758">
        <v>1442</v>
      </c>
      <c r="W86" s="758">
        <v>1555</v>
      </c>
      <c r="X86" s="672" t="s">
        <v>3101</v>
      </c>
      <c r="Y86" s="672" t="s">
        <v>3828</v>
      </c>
      <c r="Z86" s="672" t="s">
        <v>3274</v>
      </c>
      <c r="AA86" s="672" t="s">
        <v>3829</v>
      </c>
      <c r="AB86" s="672"/>
      <c r="AC86" s="672"/>
      <c r="AD86" s="672"/>
      <c r="AF86" s="304" t="s">
        <v>3212</v>
      </c>
      <c r="AG86" s="304" t="s">
        <v>3184</v>
      </c>
    </row>
    <row r="87" spans="1:36" x14ac:dyDescent="0.2">
      <c r="A87" s="672" t="s">
        <v>3100</v>
      </c>
      <c r="B87" s="672" t="s">
        <v>2799</v>
      </c>
      <c r="C87" s="672" t="s">
        <v>3772</v>
      </c>
      <c r="D87" s="672"/>
      <c r="E87" s="672"/>
      <c r="F87" s="763">
        <v>29590</v>
      </c>
      <c r="G87" s="672"/>
      <c r="H87" s="672"/>
      <c r="I87" s="672">
        <v>4.5</v>
      </c>
      <c r="J87" s="672" t="s">
        <v>2823</v>
      </c>
      <c r="K87" s="672">
        <v>118</v>
      </c>
      <c r="L87" s="672"/>
      <c r="M87" s="672" t="s">
        <v>3573</v>
      </c>
      <c r="N87" s="672">
        <v>5</v>
      </c>
      <c r="O87" s="672">
        <v>70</v>
      </c>
      <c r="P87" s="672"/>
      <c r="Q87" s="672">
        <v>95</v>
      </c>
      <c r="R87" s="672"/>
      <c r="S87" s="672" t="s">
        <v>2785</v>
      </c>
      <c r="T87" s="758" t="s">
        <v>3925</v>
      </c>
      <c r="U87" s="758" t="s">
        <v>3940</v>
      </c>
      <c r="V87" s="672" t="s">
        <v>3945</v>
      </c>
      <c r="W87" s="672" t="s">
        <v>3970</v>
      </c>
      <c r="X87" s="672" t="s">
        <v>3784</v>
      </c>
      <c r="Y87" s="672" t="s">
        <v>3785</v>
      </c>
      <c r="Z87" s="672" t="s">
        <v>3786</v>
      </c>
      <c r="AA87" s="672" t="s">
        <v>3787</v>
      </c>
      <c r="AB87" s="672"/>
      <c r="AC87" s="672"/>
      <c r="AD87" s="672"/>
      <c r="AE87" s="309"/>
      <c r="AF87" s="309" t="s">
        <v>3214</v>
      </c>
      <c r="AG87" s="309" t="s">
        <v>3215</v>
      </c>
      <c r="AH87" s="309"/>
      <c r="AI87" s="309" t="s">
        <v>3079</v>
      </c>
      <c r="AJ87" s="309" t="s">
        <v>2781</v>
      </c>
    </row>
    <row r="88" spans="1:36" x14ac:dyDescent="0.2">
      <c r="A88" s="672" t="s">
        <v>3100</v>
      </c>
      <c r="B88" s="672" t="s">
        <v>3800</v>
      </c>
      <c r="C88" s="672" t="s">
        <v>3807</v>
      </c>
      <c r="D88" s="672"/>
      <c r="E88" s="672"/>
      <c r="F88" s="763">
        <v>35460</v>
      </c>
      <c r="G88" s="672"/>
      <c r="H88" s="672"/>
      <c r="I88" s="672">
        <v>4.5</v>
      </c>
      <c r="J88" s="672" t="s">
        <v>2823</v>
      </c>
      <c r="K88" s="672">
        <v>118</v>
      </c>
      <c r="L88" s="672"/>
      <c r="M88" s="672" t="s">
        <v>3573</v>
      </c>
      <c r="N88" s="672">
        <v>5</v>
      </c>
      <c r="O88" s="672">
        <v>85</v>
      </c>
      <c r="P88" s="672"/>
      <c r="Q88" s="672">
        <v>116</v>
      </c>
      <c r="R88" s="672"/>
      <c r="S88" s="672" t="s">
        <v>2785</v>
      </c>
      <c r="T88" s="672" t="s">
        <v>3992</v>
      </c>
      <c r="U88" s="758" t="s">
        <v>4006</v>
      </c>
      <c r="V88" s="758" t="s">
        <v>4018</v>
      </c>
      <c r="W88" s="672" t="s">
        <v>4031</v>
      </c>
      <c r="X88" s="672" t="s">
        <v>3814</v>
      </c>
      <c r="Y88" s="672" t="s">
        <v>3787</v>
      </c>
      <c r="Z88" s="672" t="s">
        <v>3274</v>
      </c>
      <c r="AA88" s="672" t="s">
        <v>3815</v>
      </c>
      <c r="AB88" s="672"/>
      <c r="AC88" s="672"/>
      <c r="AD88" s="672"/>
      <c r="AE88" s="511"/>
    </row>
    <row r="89" spans="1:36" x14ac:dyDescent="0.2">
      <c r="A89" s="672" t="s">
        <v>3100</v>
      </c>
      <c r="B89" s="672" t="s">
        <v>2942</v>
      </c>
      <c r="C89" s="672" t="s">
        <v>3809</v>
      </c>
      <c r="D89" s="672"/>
      <c r="E89" s="672"/>
      <c r="F89" s="763">
        <v>40470</v>
      </c>
      <c r="G89" s="672"/>
      <c r="H89" s="672"/>
      <c r="I89" s="672">
        <v>4.8</v>
      </c>
      <c r="J89" s="672" t="s">
        <v>2823</v>
      </c>
      <c r="K89" s="672">
        <v>127</v>
      </c>
      <c r="L89" s="672"/>
      <c r="M89" s="672" t="s">
        <v>3811</v>
      </c>
      <c r="N89" s="672">
        <v>5</v>
      </c>
      <c r="O89" s="672">
        <v>118</v>
      </c>
      <c r="P89" s="672"/>
      <c r="Q89" s="672">
        <v>160</v>
      </c>
      <c r="R89" s="672"/>
      <c r="S89" s="672" t="s">
        <v>2785</v>
      </c>
      <c r="T89" s="758" t="s">
        <v>4002</v>
      </c>
      <c r="U89" s="758" t="s">
        <v>4013</v>
      </c>
      <c r="V89" s="758" t="s">
        <v>4026</v>
      </c>
      <c r="W89" s="672" t="s">
        <v>3949</v>
      </c>
      <c r="X89" s="672" t="s">
        <v>3101</v>
      </c>
      <c r="Y89" s="672" t="s">
        <v>3828</v>
      </c>
      <c r="Z89" s="672" t="s">
        <v>3274</v>
      </c>
      <c r="AA89" s="672" t="s">
        <v>3829</v>
      </c>
      <c r="AB89" s="672"/>
      <c r="AC89" s="672"/>
      <c r="AD89" s="672"/>
      <c r="AE89" s="511" t="s">
        <v>3250</v>
      </c>
      <c r="AF89" s="511" t="s">
        <v>3251</v>
      </c>
      <c r="AG89" s="511" t="s">
        <v>2948</v>
      </c>
      <c r="AH89" s="511" t="s">
        <v>2781</v>
      </c>
    </row>
    <row r="90" spans="1:36" x14ac:dyDescent="0.2">
      <c r="A90" s="672" t="s">
        <v>2999</v>
      </c>
      <c r="B90" s="672" t="s">
        <v>3565</v>
      </c>
      <c r="C90" s="672" t="s">
        <v>3570</v>
      </c>
      <c r="D90" s="672"/>
      <c r="E90" s="672"/>
      <c r="F90" s="763">
        <v>19750</v>
      </c>
      <c r="G90" s="672"/>
      <c r="H90" s="672"/>
      <c r="I90" s="672">
        <v>5.8</v>
      </c>
      <c r="J90" s="759" t="s">
        <v>2500</v>
      </c>
      <c r="K90" s="672">
        <v>133</v>
      </c>
      <c r="L90" s="672"/>
      <c r="M90" s="672" t="s">
        <v>3140</v>
      </c>
      <c r="N90" s="672">
        <v>4</v>
      </c>
      <c r="O90" s="672">
        <v>55</v>
      </c>
      <c r="P90" s="672"/>
      <c r="Q90" s="672">
        <v>75</v>
      </c>
      <c r="R90" s="672"/>
      <c r="S90" s="672" t="s">
        <v>2785</v>
      </c>
      <c r="T90" s="758">
        <v>3821</v>
      </c>
      <c r="U90" s="758">
        <v>1727</v>
      </c>
      <c r="V90" s="758">
        <v>1414</v>
      </c>
      <c r="W90" s="758">
        <v>1215</v>
      </c>
      <c r="X90" s="672" t="s">
        <v>3589</v>
      </c>
      <c r="Y90" s="672" t="s">
        <v>2913</v>
      </c>
      <c r="Z90" s="672" t="s">
        <v>3590</v>
      </c>
      <c r="AA90" s="672" t="s">
        <v>3603</v>
      </c>
      <c r="AB90" s="758"/>
      <c r="AC90" s="672"/>
      <c r="AD90" s="672" t="s">
        <v>3191</v>
      </c>
      <c r="AE90" s="304" t="s">
        <v>3250</v>
      </c>
      <c r="AF90" s="304" t="s">
        <v>3251</v>
      </c>
      <c r="AG90" s="304" t="s">
        <v>2948</v>
      </c>
      <c r="AH90" s="304" t="s">
        <v>2781</v>
      </c>
    </row>
    <row r="91" spans="1:36" x14ac:dyDescent="0.2">
      <c r="A91" s="758" t="s">
        <v>2999</v>
      </c>
      <c r="B91" s="758" t="s">
        <v>3278</v>
      </c>
      <c r="C91" s="758" t="s">
        <v>2920</v>
      </c>
      <c r="D91" s="758"/>
      <c r="E91" s="758"/>
      <c r="F91" s="763">
        <v>28500</v>
      </c>
      <c r="G91" s="758"/>
      <c r="H91" s="758"/>
      <c r="I91" s="758">
        <v>4.9000000000000004</v>
      </c>
      <c r="J91" s="672" t="s">
        <v>2500</v>
      </c>
      <c r="K91" s="758">
        <v>129</v>
      </c>
      <c r="L91" s="758"/>
      <c r="M91" s="758" t="s">
        <v>3140</v>
      </c>
      <c r="N91" s="758">
        <v>5</v>
      </c>
      <c r="O91" s="758">
        <v>85</v>
      </c>
      <c r="P91" s="758"/>
      <c r="Q91" s="758">
        <v>116</v>
      </c>
      <c r="R91" s="758"/>
      <c r="S91" s="758" t="s">
        <v>2785</v>
      </c>
      <c r="T91" s="758">
        <v>4299</v>
      </c>
      <c r="U91" s="758">
        <v>1822</v>
      </c>
      <c r="V91" s="758">
        <v>1557</v>
      </c>
      <c r="W91" s="758">
        <v>1505</v>
      </c>
      <c r="X91" s="758" t="s">
        <v>3861</v>
      </c>
      <c r="Y91" s="758" t="s">
        <v>3862</v>
      </c>
      <c r="Z91" s="758" t="s">
        <v>3863</v>
      </c>
      <c r="AA91" s="758" t="s">
        <v>3864</v>
      </c>
      <c r="AB91" s="758" t="s">
        <v>2927</v>
      </c>
      <c r="AC91" s="758"/>
      <c r="AD91" s="758" t="s">
        <v>3282</v>
      </c>
    </row>
    <row r="92" spans="1:36" x14ac:dyDescent="0.2">
      <c r="A92" s="672" t="s">
        <v>2999</v>
      </c>
      <c r="B92" s="672" t="s">
        <v>3278</v>
      </c>
      <c r="C92" s="672" t="s">
        <v>2920</v>
      </c>
      <c r="D92" s="672"/>
      <c r="E92" s="672"/>
      <c r="F92" s="763">
        <v>28500</v>
      </c>
      <c r="G92" s="672"/>
      <c r="H92" s="672"/>
      <c r="I92" s="672">
        <v>4.9000000000000004</v>
      </c>
      <c r="J92" s="672" t="s">
        <v>2823</v>
      </c>
      <c r="K92" s="672">
        <v>129</v>
      </c>
      <c r="L92" s="672"/>
      <c r="M92" s="672" t="s">
        <v>3140</v>
      </c>
      <c r="N92" s="672">
        <v>5</v>
      </c>
      <c r="O92" s="672">
        <v>85</v>
      </c>
      <c r="P92" s="672"/>
      <c r="Q92" s="672">
        <v>116</v>
      </c>
      <c r="R92" s="672"/>
      <c r="S92" s="672" t="s">
        <v>2785</v>
      </c>
      <c r="T92" s="672" t="s">
        <v>4062</v>
      </c>
      <c r="U92" s="672" t="s">
        <v>4073</v>
      </c>
      <c r="V92" s="672" t="s">
        <v>4084</v>
      </c>
      <c r="W92" s="672" t="s">
        <v>4094</v>
      </c>
      <c r="X92" s="672" t="s">
        <v>3861</v>
      </c>
      <c r="Y92" s="672" t="s">
        <v>3862</v>
      </c>
      <c r="Z92" s="672" t="s">
        <v>3863</v>
      </c>
      <c r="AA92" s="672" t="s">
        <v>3864</v>
      </c>
      <c r="AB92" s="672" t="s">
        <v>2927</v>
      </c>
      <c r="AC92" s="672"/>
      <c r="AD92" s="672" t="s">
        <v>3282</v>
      </c>
    </row>
    <row r="93" spans="1:36" x14ac:dyDescent="0.2">
      <c r="A93" s="672" t="s">
        <v>2986</v>
      </c>
      <c r="B93" s="672" t="s">
        <v>3132</v>
      </c>
      <c r="C93" s="672" t="s">
        <v>3566</v>
      </c>
      <c r="D93" s="672"/>
      <c r="E93" s="672"/>
      <c r="F93" s="763">
        <v>12990</v>
      </c>
      <c r="G93" s="672"/>
      <c r="H93" s="672"/>
      <c r="I93" s="672">
        <v>5.0999999999999996</v>
      </c>
      <c r="J93" s="759" t="s">
        <v>2500</v>
      </c>
      <c r="K93" s="672">
        <v>115</v>
      </c>
      <c r="L93" s="672"/>
      <c r="M93" s="672" t="s">
        <v>3140</v>
      </c>
      <c r="N93" s="672">
        <v>5</v>
      </c>
      <c r="O93" s="672">
        <v>52</v>
      </c>
      <c r="P93" s="672"/>
      <c r="Q93" s="672">
        <v>71</v>
      </c>
      <c r="R93" s="672"/>
      <c r="S93" s="672" t="s">
        <v>2762</v>
      </c>
      <c r="T93" s="758">
        <v>3795</v>
      </c>
      <c r="U93" s="758">
        <v>1665</v>
      </c>
      <c r="V93" s="758">
        <v>1505</v>
      </c>
      <c r="W93" s="758">
        <v>870</v>
      </c>
      <c r="X93" s="672" t="s">
        <v>2914</v>
      </c>
      <c r="Y93" s="672" t="s">
        <v>3575</v>
      </c>
      <c r="Z93" s="672"/>
      <c r="AA93" s="672" t="s">
        <v>3152</v>
      </c>
      <c r="AB93" s="672" t="s">
        <v>3153</v>
      </c>
      <c r="AC93" s="672"/>
      <c r="AD93" s="672"/>
    </row>
    <row r="94" spans="1:36" x14ac:dyDescent="0.2">
      <c r="A94" s="672" t="s">
        <v>2996</v>
      </c>
      <c r="B94" s="672" t="s">
        <v>3564</v>
      </c>
      <c r="C94" s="672" t="s">
        <v>3569</v>
      </c>
      <c r="D94" s="672"/>
      <c r="E94" s="672"/>
      <c r="F94" s="763">
        <v>15090</v>
      </c>
      <c r="G94" s="672"/>
      <c r="H94" s="672"/>
      <c r="I94" s="672">
        <v>5.6</v>
      </c>
      <c r="J94" s="672" t="s">
        <v>2500</v>
      </c>
      <c r="K94" s="672">
        <v>126</v>
      </c>
      <c r="L94" s="672"/>
      <c r="M94" s="672" t="s">
        <v>3140</v>
      </c>
      <c r="N94" s="672">
        <v>5</v>
      </c>
      <c r="O94" s="672">
        <v>74</v>
      </c>
      <c r="P94" s="672"/>
      <c r="Q94" s="672">
        <v>100</v>
      </c>
      <c r="R94" s="672"/>
      <c r="S94" s="672" t="s">
        <v>2762</v>
      </c>
      <c r="T94" s="758">
        <v>3999</v>
      </c>
      <c r="U94" s="758">
        <v>1935</v>
      </c>
      <c r="V94" s="758">
        <v>1455</v>
      </c>
      <c r="W94" s="758">
        <v>1135</v>
      </c>
      <c r="X94" s="672" t="s">
        <v>3584</v>
      </c>
      <c r="Y94" s="672" t="s">
        <v>3585</v>
      </c>
      <c r="Z94" s="672"/>
      <c r="AA94" s="672" t="s">
        <v>3600</v>
      </c>
      <c r="AB94" s="672" t="s">
        <v>3601</v>
      </c>
      <c r="AC94" s="672" t="s">
        <v>3602</v>
      </c>
      <c r="AD94" s="672"/>
    </row>
    <row r="95" spans="1:36" x14ac:dyDescent="0.2">
      <c r="A95" s="672" t="s">
        <v>2996</v>
      </c>
      <c r="B95" s="672" t="s">
        <v>3102</v>
      </c>
      <c r="C95" s="672" t="s">
        <v>3584</v>
      </c>
      <c r="D95" s="672"/>
      <c r="E95" s="672"/>
      <c r="F95" s="763">
        <v>19600</v>
      </c>
      <c r="G95" s="672"/>
      <c r="H95" s="672"/>
      <c r="I95" s="672">
        <v>5.9</v>
      </c>
      <c r="J95" s="672" t="s">
        <v>2500</v>
      </c>
      <c r="K95" s="672">
        <v>135</v>
      </c>
      <c r="L95" s="672"/>
      <c r="M95" s="672" t="s">
        <v>3140</v>
      </c>
      <c r="N95" s="672">
        <v>5</v>
      </c>
      <c r="O95" s="672">
        <v>86</v>
      </c>
      <c r="P95" s="672"/>
      <c r="Q95" s="672">
        <v>117</v>
      </c>
      <c r="R95" s="672"/>
      <c r="S95" s="672" t="s">
        <v>2785</v>
      </c>
      <c r="T95" s="758">
        <v>4210</v>
      </c>
      <c r="U95" s="758">
        <v>1983</v>
      </c>
      <c r="V95" s="758">
        <v>1595</v>
      </c>
      <c r="W95" s="758">
        <v>1182</v>
      </c>
      <c r="X95" s="672"/>
      <c r="Y95" s="672"/>
      <c r="Z95" s="672"/>
      <c r="AA95" s="672"/>
      <c r="AB95" s="672" t="s">
        <v>3233</v>
      </c>
      <c r="AC95" s="672" t="s">
        <v>3727</v>
      </c>
      <c r="AD95" s="672" t="s">
        <v>3728</v>
      </c>
      <c r="AE95" s="304" t="s">
        <v>2781</v>
      </c>
    </row>
    <row r="96" spans="1:36" x14ac:dyDescent="0.2">
      <c r="A96" s="672" t="s">
        <v>2988</v>
      </c>
      <c r="B96" s="672" t="s">
        <v>3131</v>
      </c>
      <c r="C96" s="672" t="s">
        <v>3169</v>
      </c>
      <c r="D96" s="672" t="s">
        <v>3610</v>
      </c>
      <c r="E96" s="672"/>
      <c r="F96" s="763">
        <v>21739</v>
      </c>
      <c r="G96" s="672"/>
      <c r="H96" s="672"/>
      <c r="I96" s="672">
        <v>5.2</v>
      </c>
      <c r="J96" s="759" t="s">
        <v>2500</v>
      </c>
      <c r="K96" s="672">
        <v>119</v>
      </c>
      <c r="L96" s="672"/>
      <c r="M96" s="672" t="s">
        <v>3616</v>
      </c>
      <c r="N96" s="672">
        <v>5</v>
      </c>
      <c r="O96" s="672">
        <v>81</v>
      </c>
      <c r="P96" s="672"/>
      <c r="Q96" s="672">
        <v>110</v>
      </c>
      <c r="R96" s="672"/>
      <c r="S96" s="672" t="s">
        <v>2785</v>
      </c>
      <c r="T96" s="758">
        <v>4370</v>
      </c>
      <c r="U96" s="758">
        <v>2042</v>
      </c>
      <c r="V96" s="758">
        <v>1485</v>
      </c>
      <c r="W96" s="758">
        <v>1280</v>
      </c>
      <c r="X96" s="672" t="s">
        <v>3624</v>
      </c>
      <c r="Y96" s="672" t="s">
        <v>3625</v>
      </c>
      <c r="Z96" s="672" t="s">
        <v>3624</v>
      </c>
      <c r="AA96" s="672" t="s">
        <v>3626</v>
      </c>
      <c r="AB96" s="672"/>
      <c r="AC96" s="672"/>
      <c r="AD96" s="672" t="s">
        <v>3654</v>
      </c>
    </row>
    <row r="97" spans="1:36" x14ac:dyDescent="0.2">
      <c r="A97" s="672" t="s">
        <v>2988</v>
      </c>
      <c r="B97" s="672" t="s">
        <v>3608</v>
      </c>
      <c r="C97" s="672" t="s">
        <v>3613</v>
      </c>
      <c r="D97" s="672"/>
      <c r="E97" s="672"/>
      <c r="F97" s="763">
        <v>14999</v>
      </c>
      <c r="G97" s="672"/>
      <c r="H97" s="672"/>
      <c r="I97" s="672">
        <v>5.4</v>
      </c>
      <c r="J97" s="759" t="s">
        <v>2500</v>
      </c>
      <c r="K97" s="672">
        <v>123</v>
      </c>
      <c r="L97" s="672"/>
      <c r="M97" s="672" t="s">
        <v>3616</v>
      </c>
      <c r="N97" s="672">
        <v>5</v>
      </c>
      <c r="O97" s="672">
        <v>55</v>
      </c>
      <c r="P97" s="672"/>
      <c r="Q97" s="672">
        <v>75</v>
      </c>
      <c r="R97" s="672"/>
      <c r="S97" s="672" t="s">
        <v>2762</v>
      </c>
      <c r="T97" s="758">
        <v>4060</v>
      </c>
      <c r="U97" s="758">
        <v>1960</v>
      </c>
      <c r="V97" s="758">
        <v>1433</v>
      </c>
      <c r="W97" s="758">
        <v>1055</v>
      </c>
      <c r="X97" s="672" t="s">
        <v>3635</v>
      </c>
      <c r="Y97" s="672" t="s">
        <v>3636</v>
      </c>
      <c r="Z97" s="672"/>
      <c r="AA97" s="672"/>
      <c r="AB97" s="672"/>
      <c r="AC97" s="672"/>
      <c r="AD97" s="672" t="s">
        <v>3665</v>
      </c>
    </row>
    <row r="98" spans="1:36" x14ac:dyDescent="0.2">
      <c r="A98" s="759" t="s">
        <v>2988</v>
      </c>
      <c r="B98" s="672" t="s">
        <v>3195</v>
      </c>
      <c r="C98" s="672" t="s">
        <v>3169</v>
      </c>
      <c r="D98" s="672" t="s">
        <v>3610</v>
      </c>
      <c r="E98" s="672"/>
      <c r="F98" s="763">
        <v>23339</v>
      </c>
      <c r="G98" s="672"/>
      <c r="H98" s="672"/>
      <c r="I98" s="672">
        <v>5.4</v>
      </c>
      <c r="J98" s="672" t="s">
        <v>2500</v>
      </c>
      <c r="K98" s="672">
        <v>122</v>
      </c>
      <c r="L98" s="672"/>
      <c r="M98" s="672" t="s">
        <v>3616</v>
      </c>
      <c r="N98" s="672">
        <v>5</v>
      </c>
      <c r="O98" s="672">
        <v>81</v>
      </c>
      <c r="P98" s="672"/>
      <c r="Q98" s="672">
        <v>110</v>
      </c>
      <c r="R98" s="672"/>
      <c r="S98" s="672" t="s">
        <v>2785</v>
      </c>
      <c r="T98" s="758">
        <v>4702</v>
      </c>
      <c r="U98" s="758">
        <v>2040</v>
      </c>
      <c r="V98" s="758">
        <v>1510</v>
      </c>
      <c r="W98" s="758">
        <v>1355</v>
      </c>
      <c r="X98" s="672" t="s">
        <v>3624</v>
      </c>
      <c r="Y98" s="672" t="s">
        <v>3685</v>
      </c>
      <c r="Z98" s="672" t="s">
        <v>3624</v>
      </c>
      <c r="AA98" s="672" t="s">
        <v>3686</v>
      </c>
      <c r="AB98" s="672"/>
      <c r="AC98" s="672"/>
      <c r="AD98" s="672" t="s">
        <v>3703</v>
      </c>
      <c r="AE98" s="304" t="s">
        <v>2781</v>
      </c>
    </row>
    <row r="99" spans="1:36" x14ac:dyDescent="0.2">
      <c r="A99" s="672" t="s">
        <v>2988</v>
      </c>
      <c r="B99" s="672" t="s">
        <v>2791</v>
      </c>
      <c r="C99" s="672" t="s">
        <v>3201</v>
      </c>
      <c r="D99" s="672" t="s">
        <v>3610</v>
      </c>
      <c r="E99" s="672"/>
      <c r="F99" s="763">
        <v>30730</v>
      </c>
      <c r="G99" s="672"/>
      <c r="H99" s="672"/>
      <c r="I99" s="672">
        <v>6.1</v>
      </c>
      <c r="J99" s="672" t="s">
        <v>2500</v>
      </c>
      <c r="K99" s="672">
        <v>138</v>
      </c>
      <c r="L99" s="672"/>
      <c r="M99" s="672" t="s">
        <v>3140</v>
      </c>
      <c r="N99" s="672">
        <v>5</v>
      </c>
      <c r="O99" s="672">
        <v>103</v>
      </c>
      <c r="P99" s="672"/>
      <c r="Q99" s="672">
        <v>140</v>
      </c>
      <c r="R99" s="672"/>
      <c r="S99" s="762" t="s">
        <v>2785</v>
      </c>
      <c r="T99" s="758">
        <v>4897</v>
      </c>
      <c r="U99" s="758">
        <v>2093</v>
      </c>
      <c r="V99" s="758">
        <v>1455</v>
      </c>
      <c r="W99" s="758">
        <v>1441</v>
      </c>
      <c r="X99" s="672" t="s">
        <v>3700</v>
      </c>
      <c r="Y99" s="672" t="s">
        <v>3701</v>
      </c>
      <c r="Z99" s="672"/>
      <c r="AA99" s="672"/>
      <c r="AB99" s="672"/>
      <c r="AC99" s="672"/>
      <c r="AD99" s="672" t="s">
        <v>3211</v>
      </c>
    </row>
    <row r="100" spans="1:36" x14ac:dyDescent="0.2">
      <c r="A100" s="672" t="s">
        <v>2988</v>
      </c>
      <c r="B100" s="672" t="s">
        <v>3236</v>
      </c>
      <c r="C100" s="672" t="s">
        <v>3613</v>
      </c>
      <c r="D100" s="672"/>
      <c r="E100" s="672"/>
      <c r="F100" s="763">
        <v>19839</v>
      </c>
      <c r="G100" s="672"/>
      <c r="H100" s="672"/>
      <c r="I100" s="672">
        <v>6.2</v>
      </c>
      <c r="J100" s="672" t="s">
        <v>2500</v>
      </c>
      <c r="K100" s="672">
        <v>139</v>
      </c>
      <c r="L100" s="672"/>
      <c r="M100" s="672" t="s">
        <v>3616</v>
      </c>
      <c r="N100" s="672">
        <v>5</v>
      </c>
      <c r="O100" s="672">
        <v>60</v>
      </c>
      <c r="P100" s="672"/>
      <c r="Q100" s="672">
        <v>81</v>
      </c>
      <c r="R100" s="672"/>
      <c r="S100" s="672" t="s">
        <v>2762</v>
      </c>
      <c r="T100" s="758">
        <v>4212</v>
      </c>
      <c r="U100" s="758">
        <v>1976</v>
      </c>
      <c r="V100" s="758">
        <v>1605</v>
      </c>
      <c r="W100" s="758">
        <v>1174</v>
      </c>
      <c r="X100" s="672" t="s">
        <v>3169</v>
      </c>
      <c r="Y100" s="672" t="s">
        <v>3744</v>
      </c>
      <c r="Z100" s="672" t="s">
        <v>3169</v>
      </c>
      <c r="AA100" s="672" t="s">
        <v>3745</v>
      </c>
      <c r="AB100" s="672" t="s">
        <v>3247</v>
      </c>
      <c r="AC100" s="672" t="s">
        <v>3104</v>
      </c>
      <c r="AD100" s="672"/>
      <c r="AE100" s="308" t="s">
        <v>3145</v>
      </c>
      <c r="AF100" s="308"/>
      <c r="AG100" s="308" t="s">
        <v>2779</v>
      </c>
      <c r="AH100" s="308" t="s">
        <v>2780</v>
      </c>
    </row>
    <row r="101" spans="1:36" x14ac:dyDescent="0.2">
      <c r="A101" s="672" t="s">
        <v>2988</v>
      </c>
      <c r="B101" s="672" t="s">
        <v>3238</v>
      </c>
      <c r="C101" s="672" t="s">
        <v>3169</v>
      </c>
      <c r="D101" s="672"/>
      <c r="E101" s="672"/>
      <c r="F101" s="763">
        <v>26729</v>
      </c>
      <c r="G101" s="672"/>
      <c r="H101" s="672"/>
      <c r="I101" s="672">
        <v>6.4</v>
      </c>
      <c r="J101" s="759" t="s">
        <v>2500</v>
      </c>
      <c r="K101" s="672">
        <v>145</v>
      </c>
      <c r="L101" s="672"/>
      <c r="M101" s="672" t="s">
        <v>3616</v>
      </c>
      <c r="N101" s="672">
        <v>5</v>
      </c>
      <c r="O101" s="672">
        <v>96</v>
      </c>
      <c r="P101" s="672"/>
      <c r="Q101" s="672">
        <v>130</v>
      </c>
      <c r="R101" s="672"/>
      <c r="S101" s="672" t="s">
        <v>2785</v>
      </c>
      <c r="T101" s="758">
        <v>4477</v>
      </c>
      <c r="U101" s="758">
        <v>2098</v>
      </c>
      <c r="V101" s="758">
        <v>1609</v>
      </c>
      <c r="W101" s="758">
        <v>1350</v>
      </c>
      <c r="X101" s="672" t="s">
        <v>3246</v>
      </c>
      <c r="Y101" s="672" t="s">
        <v>3747</v>
      </c>
      <c r="Z101" s="672"/>
      <c r="AA101" s="672"/>
      <c r="AB101" s="758" t="s">
        <v>3247</v>
      </c>
      <c r="AC101" s="672" t="s">
        <v>3104</v>
      </c>
      <c r="AD101" s="672"/>
      <c r="AE101" s="308" t="s">
        <v>3161</v>
      </c>
      <c r="AF101" s="308" t="s">
        <v>3162</v>
      </c>
      <c r="AG101" s="308" t="s">
        <v>3072</v>
      </c>
      <c r="AH101" s="308" t="s">
        <v>3163</v>
      </c>
    </row>
    <row r="102" spans="1:36" x14ac:dyDescent="0.2">
      <c r="A102" s="763" t="s">
        <v>2988</v>
      </c>
      <c r="B102" s="672" t="s">
        <v>3608</v>
      </c>
      <c r="C102" s="672">
        <v>44317</v>
      </c>
      <c r="D102" s="672"/>
      <c r="E102" s="672"/>
      <c r="F102" s="763">
        <v>20389</v>
      </c>
      <c r="G102" s="672"/>
      <c r="H102" s="672"/>
      <c r="I102" s="672">
        <v>4.0999999999999996</v>
      </c>
      <c r="J102" s="672" t="s">
        <v>2500</v>
      </c>
      <c r="K102" s="672">
        <v>107</v>
      </c>
      <c r="L102" s="672"/>
      <c r="M102" s="672" t="s">
        <v>3140</v>
      </c>
      <c r="N102" s="672">
        <v>5</v>
      </c>
      <c r="O102" s="672">
        <v>75</v>
      </c>
      <c r="P102" s="672"/>
      <c r="Q102" s="672">
        <v>102</v>
      </c>
      <c r="R102" s="672"/>
      <c r="S102" s="672" t="s">
        <v>2785</v>
      </c>
      <c r="T102" s="758">
        <v>4060</v>
      </c>
      <c r="U102" s="758">
        <v>1960</v>
      </c>
      <c r="V102" s="758">
        <v>1433</v>
      </c>
      <c r="W102" s="758">
        <v>1165</v>
      </c>
      <c r="X102" s="672"/>
      <c r="Y102" s="672"/>
      <c r="Z102" s="672"/>
      <c r="AA102" s="672"/>
      <c r="AB102" s="672" t="s">
        <v>3654</v>
      </c>
      <c r="AC102" s="672" t="s">
        <v>3069</v>
      </c>
      <c r="AD102" s="672"/>
      <c r="AF102" s="304" t="s">
        <v>3185</v>
      </c>
      <c r="AG102" s="304" t="s">
        <v>3186</v>
      </c>
      <c r="AI102" s="304" t="s">
        <v>3094</v>
      </c>
      <c r="AJ102" s="304" t="s">
        <v>3080</v>
      </c>
    </row>
    <row r="103" spans="1:36" x14ac:dyDescent="0.2">
      <c r="A103" s="672" t="s">
        <v>2988</v>
      </c>
      <c r="B103" s="672" t="s">
        <v>3131</v>
      </c>
      <c r="C103" s="672" t="s">
        <v>3287</v>
      </c>
      <c r="D103" s="672"/>
      <c r="E103" s="672"/>
      <c r="F103" s="763">
        <v>23739</v>
      </c>
      <c r="G103" s="672"/>
      <c r="H103" s="672"/>
      <c r="I103" s="672">
        <v>4.3</v>
      </c>
      <c r="J103" s="759" t="s">
        <v>2500</v>
      </c>
      <c r="K103" s="672">
        <v>112</v>
      </c>
      <c r="L103" s="672"/>
      <c r="M103" s="672" t="s">
        <v>3616</v>
      </c>
      <c r="N103" s="672">
        <v>5</v>
      </c>
      <c r="O103" s="672">
        <v>77</v>
      </c>
      <c r="P103" s="672"/>
      <c r="Q103" s="672">
        <v>105</v>
      </c>
      <c r="R103" s="672"/>
      <c r="S103" s="672" t="s">
        <v>2785</v>
      </c>
      <c r="T103" s="758">
        <v>4370</v>
      </c>
      <c r="U103" s="758">
        <v>2042</v>
      </c>
      <c r="V103" s="758">
        <v>1485</v>
      </c>
      <c r="W103" s="758">
        <v>1371</v>
      </c>
      <c r="X103" s="672" t="s">
        <v>3287</v>
      </c>
      <c r="Y103" s="672" t="s">
        <v>3774</v>
      </c>
      <c r="Z103" s="672"/>
      <c r="AA103" s="672"/>
      <c r="AB103" s="672" t="s">
        <v>3654</v>
      </c>
      <c r="AC103" s="672" t="s">
        <v>3655</v>
      </c>
      <c r="AD103" s="672"/>
      <c r="AF103" s="304" t="s">
        <v>3217</v>
      </c>
      <c r="AG103" s="304" t="s">
        <v>3218</v>
      </c>
    </row>
    <row r="104" spans="1:36" x14ac:dyDescent="0.2">
      <c r="A104" s="672" t="s">
        <v>2988</v>
      </c>
      <c r="B104" s="672" t="s">
        <v>2792</v>
      </c>
      <c r="C104" s="672" t="s">
        <v>3287</v>
      </c>
      <c r="D104" s="672"/>
      <c r="E104" s="672"/>
      <c r="F104" s="763">
        <v>25339</v>
      </c>
      <c r="G104" s="672"/>
      <c r="H104" s="672"/>
      <c r="I104" s="672">
        <v>4.3</v>
      </c>
      <c r="J104" s="759" t="s">
        <v>2500</v>
      </c>
      <c r="K104" s="672">
        <v>113</v>
      </c>
      <c r="L104" s="672"/>
      <c r="M104" s="672" t="s">
        <v>3616</v>
      </c>
      <c r="N104" s="672">
        <v>5</v>
      </c>
      <c r="O104" s="672">
        <v>77</v>
      </c>
      <c r="P104" s="672"/>
      <c r="Q104" s="672">
        <v>105</v>
      </c>
      <c r="R104" s="672"/>
      <c r="S104" s="672" t="s">
        <v>2785</v>
      </c>
      <c r="T104" s="758">
        <v>4702</v>
      </c>
      <c r="U104" s="758">
        <v>2042</v>
      </c>
      <c r="V104" s="758">
        <v>1485</v>
      </c>
      <c r="W104" s="758">
        <v>1395</v>
      </c>
      <c r="X104" s="672" t="s">
        <v>3287</v>
      </c>
      <c r="Y104" s="672" t="s">
        <v>3774</v>
      </c>
      <c r="Z104" s="672"/>
      <c r="AA104" s="672"/>
      <c r="AB104" s="758" t="s">
        <v>3836</v>
      </c>
      <c r="AC104" s="672" t="s">
        <v>3837</v>
      </c>
      <c r="AD104" s="672" t="s">
        <v>3221</v>
      </c>
    </row>
    <row r="105" spans="1:36" x14ac:dyDescent="0.2">
      <c r="A105" s="758" t="s">
        <v>2988</v>
      </c>
      <c r="B105" s="758" t="s">
        <v>3803</v>
      </c>
      <c r="C105" s="758" t="s">
        <v>3287</v>
      </c>
      <c r="D105" s="758"/>
      <c r="E105" s="758"/>
      <c r="F105" s="763">
        <v>32699</v>
      </c>
      <c r="G105" s="758"/>
      <c r="H105" s="758"/>
      <c r="I105" s="758">
        <v>4.5999999999999996</v>
      </c>
      <c r="J105" s="672" t="s">
        <v>2500</v>
      </c>
      <c r="K105" s="758">
        <v>121</v>
      </c>
      <c r="L105" s="758"/>
      <c r="M105" s="758" t="s">
        <v>3140</v>
      </c>
      <c r="N105" s="758">
        <v>5</v>
      </c>
      <c r="O105" s="758">
        <v>90</v>
      </c>
      <c r="P105" s="758"/>
      <c r="Q105" s="758">
        <v>122</v>
      </c>
      <c r="R105" s="758"/>
      <c r="S105" s="758" t="s">
        <v>2785</v>
      </c>
      <c r="T105" s="758">
        <v>4897</v>
      </c>
      <c r="U105" s="758">
        <v>2093</v>
      </c>
      <c r="V105" s="758">
        <v>1455</v>
      </c>
      <c r="W105" s="758">
        <v>1503</v>
      </c>
      <c r="X105" s="758" t="s">
        <v>3824</v>
      </c>
      <c r="Y105" s="758" t="s">
        <v>3825</v>
      </c>
      <c r="Z105" s="758"/>
      <c r="AA105" s="758"/>
      <c r="AB105" s="758" t="s">
        <v>3843</v>
      </c>
      <c r="AC105" s="758" t="s">
        <v>3069</v>
      </c>
      <c r="AD105" s="758"/>
      <c r="AG105" s="304" t="s">
        <v>3085</v>
      </c>
      <c r="AH105" s="304" t="s">
        <v>3109</v>
      </c>
    </row>
    <row r="106" spans="1:36" x14ac:dyDescent="0.2">
      <c r="A106" s="758" t="s">
        <v>2988</v>
      </c>
      <c r="B106" s="758" t="s">
        <v>3236</v>
      </c>
      <c r="C106" s="758" t="s">
        <v>3287</v>
      </c>
      <c r="D106" s="758"/>
      <c r="E106" s="758"/>
      <c r="F106" s="763">
        <v>22349</v>
      </c>
      <c r="G106" s="758"/>
      <c r="H106" s="758"/>
      <c r="I106" s="758">
        <v>4.7</v>
      </c>
      <c r="J106" s="672" t="s">
        <v>2500</v>
      </c>
      <c r="K106" s="758">
        <v>123</v>
      </c>
      <c r="L106" s="758"/>
      <c r="M106" s="758" t="s">
        <v>3140</v>
      </c>
      <c r="N106" s="758">
        <v>5</v>
      </c>
      <c r="O106" s="758">
        <v>75</v>
      </c>
      <c r="P106" s="758"/>
      <c r="Q106" s="758">
        <v>102</v>
      </c>
      <c r="R106" s="758"/>
      <c r="S106" s="758" t="s">
        <v>2785</v>
      </c>
      <c r="T106" s="758">
        <v>4212</v>
      </c>
      <c r="U106" s="758">
        <v>1976</v>
      </c>
      <c r="V106" s="758">
        <v>1605</v>
      </c>
      <c r="W106" s="758">
        <v>1289</v>
      </c>
      <c r="X106" s="758" t="s">
        <v>3287</v>
      </c>
      <c r="Y106" s="758" t="s">
        <v>3858</v>
      </c>
      <c r="Z106" s="758"/>
      <c r="AA106" s="758"/>
      <c r="AB106" s="758" t="s">
        <v>3288</v>
      </c>
      <c r="AC106" s="758" t="s">
        <v>3221</v>
      </c>
      <c r="AD106" s="758"/>
      <c r="AE106" s="304" t="s">
        <v>3106</v>
      </c>
    </row>
    <row r="107" spans="1:36" x14ac:dyDescent="0.2">
      <c r="A107" s="759" t="s">
        <v>2988</v>
      </c>
      <c r="B107" s="758" t="s">
        <v>3238</v>
      </c>
      <c r="C107" s="758" t="s">
        <v>3287</v>
      </c>
      <c r="D107" s="758"/>
      <c r="E107" s="758"/>
      <c r="F107" s="763">
        <v>29309</v>
      </c>
      <c r="G107" s="758"/>
      <c r="H107" s="758"/>
      <c r="I107" s="758">
        <v>5.2</v>
      </c>
      <c r="J107" s="672" t="s">
        <v>2500</v>
      </c>
      <c r="K107" s="758">
        <v>136</v>
      </c>
      <c r="L107" s="758"/>
      <c r="M107" s="758" t="s">
        <v>3140</v>
      </c>
      <c r="N107" s="758">
        <v>5</v>
      </c>
      <c r="O107" s="758">
        <v>96</v>
      </c>
      <c r="P107" s="758"/>
      <c r="Q107" s="758">
        <v>130</v>
      </c>
      <c r="R107" s="758"/>
      <c r="S107" s="758" t="s">
        <v>2785</v>
      </c>
      <c r="T107" s="758">
        <v>4477</v>
      </c>
      <c r="U107" s="758">
        <v>2098</v>
      </c>
      <c r="V107" s="758">
        <v>1609</v>
      </c>
      <c r="W107" s="758">
        <v>1435</v>
      </c>
      <c r="X107" s="758"/>
      <c r="Y107" s="758"/>
      <c r="Z107" s="758"/>
      <c r="AA107" s="758"/>
      <c r="AB107" s="758" t="s">
        <v>3288</v>
      </c>
      <c r="AC107" s="758" t="s">
        <v>3221</v>
      </c>
      <c r="AD107" s="758"/>
    </row>
    <row r="108" spans="1:36" x14ac:dyDescent="0.2">
      <c r="A108" s="758" t="s">
        <v>2988</v>
      </c>
      <c r="B108" s="758" t="s">
        <v>3608</v>
      </c>
      <c r="C108" s="758">
        <v>44317</v>
      </c>
      <c r="D108" s="672"/>
      <c r="E108" s="758"/>
      <c r="F108" s="763">
        <v>20389</v>
      </c>
      <c r="G108" s="672"/>
      <c r="H108" s="672"/>
      <c r="I108" s="672">
        <v>4.0999999999999996</v>
      </c>
      <c r="J108" s="759" t="s">
        <v>2823</v>
      </c>
      <c r="K108" s="672">
        <v>107</v>
      </c>
      <c r="L108" s="672"/>
      <c r="M108" s="672" t="s">
        <v>3140</v>
      </c>
      <c r="N108" s="672">
        <v>5</v>
      </c>
      <c r="O108" s="672">
        <v>75</v>
      </c>
      <c r="P108" s="672"/>
      <c r="Q108" s="672">
        <v>102</v>
      </c>
      <c r="R108" s="672"/>
      <c r="S108" s="672" t="s">
        <v>2785</v>
      </c>
      <c r="T108" s="758" t="s">
        <v>3911</v>
      </c>
      <c r="U108" s="758" t="s">
        <v>3927</v>
      </c>
      <c r="V108" s="758" t="s">
        <v>3942</v>
      </c>
      <c r="W108" s="758" t="s">
        <v>3957</v>
      </c>
      <c r="X108" s="672"/>
      <c r="Y108" s="672"/>
      <c r="Z108" s="672"/>
      <c r="AA108" s="672"/>
      <c r="AB108" s="672" t="s">
        <v>3654</v>
      </c>
      <c r="AC108" s="672" t="s">
        <v>3069</v>
      </c>
      <c r="AD108" s="672"/>
    </row>
    <row r="109" spans="1:36" x14ac:dyDescent="0.2">
      <c r="A109" s="672" t="s">
        <v>2988</v>
      </c>
      <c r="B109" s="672" t="s">
        <v>3131</v>
      </c>
      <c r="C109" s="672" t="s">
        <v>3287</v>
      </c>
      <c r="D109" s="672"/>
      <c r="E109" s="672"/>
      <c r="F109" s="763">
        <v>23739</v>
      </c>
      <c r="G109" s="672"/>
      <c r="H109" s="672"/>
      <c r="I109" s="672">
        <v>4.3</v>
      </c>
      <c r="J109" s="759" t="s">
        <v>2823</v>
      </c>
      <c r="K109" s="672">
        <v>112</v>
      </c>
      <c r="L109" s="672"/>
      <c r="M109" s="672" t="s">
        <v>3616</v>
      </c>
      <c r="N109" s="672">
        <v>5</v>
      </c>
      <c r="O109" s="672">
        <v>77</v>
      </c>
      <c r="P109" s="672"/>
      <c r="Q109" s="672">
        <v>105</v>
      </c>
      <c r="R109" s="672"/>
      <c r="S109" s="672" t="s">
        <v>2785</v>
      </c>
      <c r="T109" s="758" t="s">
        <v>3916</v>
      </c>
      <c r="U109" s="758" t="s">
        <v>3931</v>
      </c>
      <c r="V109" s="758" t="s">
        <v>3947</v>
      </c>
      <c r="W109" s="758" t="s">
        <v>3961</v>
      </c>
      <c r="X109" s="672" t="s">
        <v>3287</v>
      </c>
      <c r="Y109" s="672" t="s">
        <v>3774</v>
      </c>
      <c r="Z109" s="672"/>
      <c r="AA109" s="672"/>
      <c r="AB109" s="672" t="s">
        <v>3654</v>
      </c>
      <c r="AC109" s="672" t="s">
        <v>3655</v>
      </c>
      <c r="AD109" s="672"/>
    </row>
    <row r="110" spans="1:36" x14ac:dyDescent="0.2">
      <c r="A110" s="672" t="s">
        <v>2988</v>
      </c>
      <c r="B110" s="672" t="s">
        <v>2792</v>
      </c>
      <c r="C110" s="672" t="s">
        <v>3287</v>
      </c>
      <c r="D110" s="672"/>
      <c r="E110" s="672"/>
      <c r="F110" s="763">
        <v>25339</v>
      </c>
      <c r="G110" s="672"/>
      <c r="H110" s="672"/>
      <c r="I110" s="672">
        <v>4.3</v>
      </c>
      <c r="J110" s="672" t="s">
        <v>2823</v>
      </c>
      <c r="K110" s="672">
        <v>113</v>
      </c>
      <c r="L110" s="672"/>
      <c r="M110" s="672" t="s">
        <v>3616</v>
      </c>
      <c r="N110" s="672">
        <v>5</v>
      </c>
      <c r="O110" s="672">
        <v>77</v>
      </c>
      <c r="P110" s="672"/>
      <c r="Q110" s="672">
        <v>105</v>
      </c>
      <c r="R110" s="672"/>
      <c r="S110" s="672" t="s">
        <v>2785</v>
      </c>
      <c r="T110" s="672" t="s">
        <v>3989</v>
      </c>
      <c r="U110" s="758" t="s">
        <v>3931</v>
      </c>
      <c r="V110" s="758" t="s">
        <v>3947</v>
      </c>
      <c r="W110" s="672" t="s">
        <v>4029</v>
      </c>
      <c r="X110" s="672" t="s">
        <v>3287</v>
      </c>
      <c r="Y110" s="672" t="s">
        <v>3774</v>
      </c>
      <c r="Z110" s="672"/>
      <c r="AA110" s="672"/>
      <c r="AB110" s="672" t="s">
        <v>3836</v>
      </c>
      <c r="AC110" s="672" t="s">
        <v>3837</v>
      </c>
      <c r="AD110" s="672" t="s">
        <v>3221</v>
      </c>
      <c r="AE110" s="308"/>
      <c r="AF110" s="308"/>
      <c r="AG110" s="308"/>
      <c r="AH110" s="308"/>
    </row>
    <row r="111" spans="1:36" x14ac:dyDescent="0.2">
      <c r="A111" s="672" t="s">
        <v>2988</v>
      </c>
      <c r="B111" s="672" t="s">
        <v>2791</v>
      </c>
      <c r="C111" s="672" t="s">
        <v>3287</v>
      </c>
      <c r="D111" s="672"/>
      <c r="E111" s="672"/>
      <c r="F111" s="763">
        <v>32699</v>
      </c>
      <c r="G111" s="672"/>
      <c r="H111" s="672"/>
      <c r="I111" s="672">
        <v>4.5999999999999996</v>
      </c>
      <c r="J111" s="672" t="s">
        <v>2823</v>
      </c>
      <c r="K111" s="672">
        <v>121</v>
      </c>
      <c r="L111" s="672"/>
      <c r="M111" s="672" t="s">
        <v>3140</v>
      </c>
      <c r="N111" s="672">
        <v>5</v>
      </c>
      <c r="O111" s="672">
        <v>90</v>
      </c>
      <c r="P111" s="672"/>
      <c r="Q111" s="672">
        <v>122</v>
      </c>
      <c r="R111" s="672"/>
      <c r="S111" s="672" t="s">
        <v>2785</v>
      </c>
      <c r="T111" s="672" t="s">
        <v>3999</v>
      </c>
      <c r="U111" s="758" t="s">
        <v>4010</v>
      </c>
      <c r="V111" s="758" t="s">
        <v>3955</v>
      </c>
      <c r="W111" s="672" t="s">
        <v>4036</v>
      </c>
      <c r="X111" s="672" t="s">
        <v>3824</v>
      </c>
      <c r="Y111" s="672" t="s">
        <v>3825</v>
      </c>
      <c r="Z111" s="672"/>
      <c r="AA111" s="672"/>
      <c r="AB111" s="672" t="s">
        <v>3843</v>
      </c>
      <c r="AC111" s="672" t="s">
        <v>3069</v>
      </c>
      <c r="AD111" s="672"/>
      <c r="AF111" s="304" t="s">
        <v>3177</v>
      </c>
      <c r="AG111" s="304" t="s">
        <v>3112</v>
      </c>
    </row>
    <row r="112" spans="1:36" x14ac:dyDescent="0.2">
      <c r="A112" s="672" t="s">
        <v>2997</v>
      </c>
      <c r="B112" s="672">
        <v>208</v>
      </c>
      <c r="C112" s="672" t="s">
        <v>3614</v>
      </c>
      <c r="D112" s="672" t="s">
        <v>3139</v>
      </c>
      <c r="E112" s="672"/>
      <c r="F112" s="763">
        <v>15990</v>
      </c>
      <c r="G112" s="672"/>
      <c r="H112" s="672"/>
      <c r="I112" s="672">
        <v>5.4</v>
      </c>
      <c r="J112" s="672" t="s">
        <v>2500</v>
      </c>
      <c r="K112" s="672">
        <v>123</v>
      </c>
      <c r="L112" s="672"/>
      <c r="M112" s="672" t="s">
        <v>3616</v>
      </c>
      <c r="N112" s="672">
        <v>5</v>
      </c>
      <c r="O112" s="672">
        <v>55</v>
      </c>
      <c r="P112" s="672"/>
      <c r="Q112" s="672">
        <v>75</v>
      </c>
      <c r="R112" s="672"/>
      <c r="S112" s="672" t="s">
        <v>2762</v>
      </c>
      <c r="T112" s="758">
        <v>4055</v>
      </c>
      <c r="U112" s="758">
        <v>1960</v>
      </c>
      <c r="V112" s="758">
        <v>1430</v>
      </c>
      <c r="W112" s="672">
        <v>1055</v>
      </c>
      <c r="X112" s="672" t="s">
        <v>3637</v>
      </c>
      <c r="Y112" s="672" t="s">
        <v>3638</v>
      </c>
      <c r="Z112" s="672" t="s">
        <v>2946</v>
      </c>
      <c r="AA112" s="672" t="s">
        <v>3639</v>
      </c>
      <c r="AB112" s="672"/>
      <c r="AC112" s="672"/>
      <c r="AD112" s="672" t="s">
        <v>3667</v>
      </c>
      <c r="AF112" s="304" t="s">
        <v>3180</v>
      </c>
      <c r="AI112" s="304" t="s">
        <v>3094</v>
      </c>
      <c r="AJ112" s="304" t="s">
        <v>3080</v>
      </c>
    </row>
    <row r="113" spans="1:36" x14ac:dyDescent="0.2">
      <c r="A113" s="672" t="s">
        <v>2997</v>
      </c>
      <c r="B113" s="672" t="s">
        <v>2941</v>
      </c>
      <c r="C113" s="672" t="s">
        <v>2946</v>
      </c>
      <c r="D113" s="672" t="s">
        <v>2911</v>
      </c>
      <c r="E113" s="672"/>
      <c r="F113" s="763">
        <v>23600</v>
      </c>
      <c r="G113" s="672"/>
      <c r="H113" s="672"/>
      <c r="I113" s="672">
        <v>5.9</v>
      </c>
      <c r="J113" s="759" t="s">
        <v>2500</v>
      </c>
      <c r="K113" s="672">
        <v>134</v>
      </c>
      <c r="L113" s="672"/>
      <c r="M113" s="672" t="s">
        <v>3616</v>
      </c>
      <c r="N113" s="672">
        <v>5</v>
      </c>
      <c r="O113" s="672">
        <v>81</v>
      </c>
      <c r="P113" s="672"/>
      <c r="Q113" s="672">
        <v>110</v>
      </c>
      <c r="R113" s="672"/>
      <c r="S113" s="672" t="s">
        <v>2785</v>
      </c>
      <c r="T113" s="758">
        <v>4585</v>
      </c>
      <c r="U113" s="758">
        <v>2043</v>
      </c>
      <c r="V113" s="758">
        <v>1472</v>
      </c>
      <c r="W113" s="758">
        <v>1205</v>
      </c>
      <c r="X113" s="672" t="s">
        <v>2946</v>
      </c>
      <c r="Y113" s="672" t="s">
        <v>3697</v>
      </c>
      <c r="Z113" s="672"/>
      <c r="AA113" s="672"/>
      <c r="AB113" s="672"/>
      <c r="AC113" s="672"/>
      <c r="AD113" s="672" t="s">
        <v>3212</v>
      </c>
    </row>
    <row r="114" spans="1:36" x14ac:dyDescent="0.2">
      <c r="A114" s="758" t="s">
        <v>2997</v>
      </c>
      <c r="B114" s="758">
        <v>508</v>
      </c>
      <c r="C114" s="758" t="s">
        <v>3244</v>
      </c>
      <c r="D114" s="758"/>
      <c r="E114" s="758"/>
      <c r="F114" s="763">
        <v>42250</v>
      </c>
      <c r="G114" s="758"/>
      <c r="H114" s="758"/>
      <c r="I114" s="758">
        <v>6.5</v>
      </c>
      <c r="J114" s="672" t="s">
        <v>2500</v>
      </c>
      <c r="K114" s="758">
        <v>145</v>
      </c>
      <c r="L114" s="758"/>
      <c r="M114" s="758" t="s">
        <v>3616</v>
      </c>
      <c r="N114" s="758">
        <v>5</v>
      </c>
      <c r="O114" s="758">
        <v>133</v>
      </c>
      <c r="P114" s="758"/>
      <c r="Q114" s="758">
        <v>181</v>
      </c>
      <c r="R114" s="758"/>
      <c r="S114" s="758" t="s">
        <v>3082</v>
      </c>
      <c r="T114" s="758">
        <v>4750</v>
      </c>
      <c r="U114" s="758">
        <v>2079</v>
      </c>
      <c r="V114" s="758">
        <v>1403</v>
      </c>
      <c r="W114" s="758">
        <v>1420</v>
      </c>
      <c r="X114" s="758"/>
      <c r="Y114" s="758"/>
      <c r="Z114" s="758"/>
      <c r="AA114" s="758"/>
      <c r="AB114" s="758"/>
      <c r="AC114" s="758"/>
      <c r="AD114" s="758" t="s">
        <v>3714</v>
      </c>
      <c r="AE114" s="304" t="s">
        <v>3255</v>
      </c>
    </row>
    <row r="115" spans="1:36" x14ac:dyDescent="0.2">
      <c r="A115" s="758" t="s">
        <v>2997</v>
      </c>
      <c r="B115" s="758">
        <v>3008</v>
      </c>
      <c r="C115" s="758" t="s">
        <v>2946</v>
      </c>
      <c r="D115" s="672"/>
      <c r="E115" s="758"/>
      <c r="F115" s="763">
        <v>26790</v>
      </c>
      <c r="G115" s="672"/>
      <c r="H115" s="672"/>
      <c r="I115" s="672">
        <v>6.3</v>
      </c>
      <c r="J115" s="759" t="s">
        <v>2500</v>
      </c>
      <c r="K115" s="672">
        <v>144</v>
      </c>
      <c r="L115" s="672"/>
      <c r="M115" s="672" t="s">
        <v>3616</v>
      </c>
      <c r="N115" s="672">
        <v>5</v>
      </c>
      <c r="O115" s="672">
        <v>96</v>
      </c>
      <c r="P115" s="672"/>
      <c r="Q115" s="672">
        <v>131</v>
      </c>
      <c r="R115" s="672"/>
      <c r="S115" s="672" t="s">
        <v>2785</v>
      </c>
      <c r="T115" s="758">
        <v>4447</v>
      </c>
      <c r="U115" s="758">
        <v>2098</v>
      </c>
      <c r="V115" s="758">
        <v>1624</v>
      </c>
      <c r="W115" s="758">
        <v>1320</v>
      </c>
      <c r="X115" s="672"/>
      <c r="Y115" s="672"/>
      <c r="Z115" s="672"/>
      <c r="AA115" s="672"/>
      <c r="AB115" s="672" t="s">
        <v>3249</v>
      </c>
      <c r="AC115" s="672" t="s">
        <v>3759</v>
      </c>
      <c r="AD115" s="672"/>
    </row>
    <row r="116" spans="1:36" x14ac:dyDescent="0.2">
      <c r="A116" s="672" t="s">
        <v>2997</v>
      </c>
      <c r="B116" s="672">
        <v>5008</v>
      </c>
      <c r="C116" s="672" t="s">
        <v>2946</v>
      </c>
      <c r="D116" s="672"/>
      <c r="E116" s="672"/>
      <c r="F116" s="763">
        <v>28790</v>
      </c>
      <c r="G116" s="672"/>
      <c r="H116" s="672"/>
      <c r="I116" s="672">
        <v>6.5</v>
      </c>
      <c r="J116" s="759" t="s">
        <v>2500</v>
      </c>
      <c r="K116" s="672">
        <v>147</v>
      </c>
      <c r="L116" s="672"/>
      <c r="M116" s="672" t="s">
        <v>3616</v>
      </c>
      <c r="N116" s="672">
        <v>5</v>
      </c>
      <c r="O116" s="672">
        <v>96</v>
      </c>
      <c r="P116" s="672"/>
      <c r="Q116" s="672">
        <v>131</v>
      </c>
      <c r="R116" s="672"/>
      <c r="S116" s="672" t="s">
        <v>2785</v>
      </c>
      <c r="T116" s="758">
        <v>4641</v>
      </c>
      <c r="U116" s="758">
        <v>2098</v>
      </c>
      <c r="V116" s="758">
        <v>1646</v>
      </c>
      <c r="W116" s="758">
        <v>1410</v>
      </c>
      <c r="X116" s="672"/>
      <c r="Y116" s="672"/>
      <c r="Z116" s="672"/>
      <c r="AA116" s="672"/>
      <c r="AB116" s="672" t="s">
        <v>3249</v>
      </c>
      <c r="AC116" s="672" t="s">
        <v>3759</v>
      </c>
      <c r="AD116" s="672"/>
    </row>
    <row r="117" spans="1:36" x14ac:dyDescent="0.2">
      <c r="A117" s="758" t="s">
        <v>2997</v>
      </c>
      <c r="B117" s="758">
        <v>208</v>
      </c>
      <c r="C117" s="758" t="s">
        <v>2949</v>
      </c>
      <c r="D117" s="672" t="s">
        <v>2911</v>
      </c>
      <c r="E117" s="758"/>
      <c r="F117" s="763">
        <v>19530</v>
      </c>
      <c r="G117" s="672"/>
      <c r="H117" s="672"/>
      <c r="I117" s="672">
        <v>4.0999999999999996</v>
      </c>
      <c r="J117" s="759" t="s">
        <v>2500</v>
      </c>
      <c r="K117" s="672">
        <v>108</v>
      </c>
      <c r="L117" s="672"/>
      <c r="M117" s="672" t="s">
        <v>3140</v>
      </c>
      <c r="N117" s="672">
        <v>5</v>
      </c>
      <c r="O117" s="672">
        <v>75</v>
      </c>
      <c r="P117" s="672"/>
      <c r="Q117" s="672">
        <v>102</v>
      </c>
      <c r="R117" s="672"/>
      <c r="S117" s="672" t="s">
        <v>2785</v>
      </c>
      <c r="T117" s="758">
        <v>4055</v>
      </c>
      <c r="U117" s="758">
        <v>1960</v>
      </c>
      <c r="V117" s="758">
        <v>1430</v>
      </c>
      <c r="W117" s="758">
        <v>1165</v>
      </c>
      <c r="X117" s="672"/>
      <c r="Y117" s="672"/>
      <c r="Z117" s="672"/>
      <c r="AA117" s="672"/>
      <c r="AB117" s="672" t="s">
        <v>3790</v>
      </c>
      <c r="AC117" s="672" t="s">
        <v>3714</v>
      </c>
      <c r="AD117" s="672"/>
      <c r="AE117" s="308"/>
      <c r="AF117" s="308"/>
      <c r="AG117" s="308"/>
      <c r="AH117" s="308"/>
    </row>
    <row r="118" spans="1:36" x14ac:dyDescent="0.2">
      <c r="A118" s="672" t="s">
        <v>2997</v>
      </c>
      <c r="B118" s="672">
        <v>308</v>
      </c>
      <c r="C118" s="672" t="s">
        <v>2949</v>
      </c>
      <c r="D118" s="672"/>
      <c r="E118" s="672"/>
      <c r="F118" s="763">
        <v>23850</v>
      </c>
      <c r="G118" s="672"/>
      <c r="H118" s="672"/>
      <c r="I118" s="672">
        <v>4.5</v>
      </c>
      <c r="J118" s="672" t="s">
        <v>2500</v>
      </c>
      <c r="K118" s="672">
        <v>118</v>
      </c>
      <c r="L118" s="672"/>
      <c r="M118" s="672" t="s">
        <v>3140</v>
      </c>
      <c r="N118" s="672">
        <v>5</v>
      </c>
      <c r="O118" s="672">
        <v>75</v>
      </c>
      <c r="P118" s="672"/>
      <c r="Q118" s="672">
        <v>102</v>
      </c>
      <c r="R118" s="672"/>
      <c r="S118" s="672" t="s">
        <v>2785</v>
      </c>
      <c r="T118" s="758">
        <v>4253</v>
      </c>
      <c r="U118" s="758">
        <v>2043</v>
      </c>
      <c r="V118" s="758">
        <v>1457</v>
      </c>
      <c r="W118" s="758">
        <v>1205</v>
      </c>
      <c r="X118" s="672" t="s">
        <v>3263</v>
      </c>
      <c r="Y118" s="672" t="s">
        <v>3788</v>
      </c>
      <c r="Z118" s="672"/>
      <c r="AA118" s="672"/>
      <c r="AB118" s="672" t="s">
        <v>3267</v>
      </c>
      <c r="AC118" s="672" t="s">
        <v>3798</v>
      </c>
      <c r="AD118" s="672"/>
      <c r="AE118" s="304" t="s">
        <v>3155</v>
      </c>
      <c r="AG118" s="304" t="s">
        <v>3079</v>
      </c>
      <c r="AH118" s="304" t="s">
        <v>3080</v>
      </c>
    </row>
    <row r="119" spans="1:36" x14ac:dyDescent="0.2">
      <c r="A119" s="672" t="s">
        <v>2997</v>
      </c>
      <c r="B119" s="672">
        <v>508</v>
      </c>
      <c r="C119" s="672" t="s">
        <v>3284</v>
      </c>
      <c r="D119" s="672"/>
      <c r="E119" s="672"/>
      <c r="F119" s="763">
        <v>36750</v>
      </c>
      <c r="G119" s="672"/>
      <c r="H119" s="672"/>
      <c r="I119" s="672">
        <v>4.7</v>
      </c>
      <c r="J119" s="759" t="s">
        <v>2500</v>
      </c>
      <c r="K119" s="672">
        <v>120</v>
      </c>
      <c r="L119" s="672"/>
      <c r="M119" s="672" t="s">
        <v>3140</v>
      </c>
      <c r="N119" s="672">
        <v>5</v>
      </c>
      <c r="O119" s="672">
        <v>96</v>
      </c>
      <c r="P119" s="672"/>
      <c r="Q119" s="672">
        <v>130</v>
      </c>
      <c r="R119" s="672"/>
      <c r="S119" s="672" t="s">
        <v>2785</v>
      </c>
      <c r="T119" s="758">
        <v>4750</v>
      </c>
      <c r="U119" s="758">
        <v>2079</v>
      </c>
      <c r="V119" s="758">
        <v>1403</v>
      </c>
      <c r="W119" s="758">
        <v>1415</v>
      </c>
      <c r="X119" s="672" t="s">
        <v>3819</v>
      </c>
      <c r="Y119" s="672" t="s">
        <v>3820</v>
      </c>
      <c r="Z119" s="672" t="s">
        <v>3821</v>
      </c>
      <c r="AA119" s="672" t="s">
        <v>3822</v>
      </c>
      <c r="AB119" s="672" t="s">
        <v>3214</v>
      </c>
      <c r="AC119" s="672" t="s">
        <v>3840</v>
      </c>
      <c r="AD119" s="672"/>
      <c r="AF119" s="308" t="s">
        <v>3173</v>
      </c>
      <c r="AG119" s="308" t="s">
        <v>3155</v>
      </c>
      <c r="AH119" s="308"/>
    </row>
    <row r="120" spans="1:36" x14ac:dyDescent="0.2">
      <c r="A120" s="672" t="s">
        <v>2997</v>
      </c>
      <c r="B120" s="672" t="s">
        <v>2941</v>
      </c>
      <c r="C120" s="672" t="s">
        <v>3284</v>
      </c>
      <c r="D120" s="672"/>
      <c r="E120" s="672"/>
      <c r="F120" s="763">
        <v>27800</v>
      </c>
      <c r="G120" s="672"/>
      <c r="H120" s="672"/>
      <c r="I120" s="672">
        <v>4.7</v>
      </c>
      <c r="J120" s="672" t="s">
        <v>2500</v>
      </c>
      <c r="K120" s="672">
        <v>122</v>
      </c>
      <c r="L120" s="672"/>
      <c r="M120" s="672" t="s">
        <v>3140</v>
      </c>
      <c r="N120" s="672">
        <v>5</v>
      </c>
      <c r="O120" s="672">
        <v>96</v>
      </c>
      <c r="P120" s="672"/>
      <c r="Q120" s="672">
        <v>130</v>
      </c>
      <c r="R120" s="672"/>
      <c r="S120" s="672" t="s">
        <v>2785</v>
      </c>
      <c r="T120" s="758">
        <v>4585</v>
      </c>
      <c r="U120" s="758">
        <v>2043</v>
      </c>
      <c r="V120" s="758">
        <v>1472</v>
      </c>
      <c r="W120" s="758">
        <v>1205</v>
      </c>
      <c r="X120" s="672"/>
      <c r="Y120" s="672"/>
      <c r="Z120" s="672"/>
      <c r="AA120" s="672"/>
      <c r="AB120" s="672" t="s">
        <v>3214</v>
      </c>
      <c r="AC120" s="672" t="s">
        <v>3844</v>
      </c>
      <c r="AD120" s="672" t="s">
        <v>2950</v>
      </c>
      <c r="AF120" s="304" t="s">
        <v>2938</v>
      </c>
      <c r="AI120" s="304" t="s">
        <v>3192</v>
      </c>
      <c r="AJ120" s="304" t="s">
        <v>3193</v>
      </c>
    </row>
    <row r="121" spans="1:36" x14ac:dyDescent="0.2">
      <c r="A121" s="672" t="s">
        <v>2997</v>
      </c>
      <c r="B121" s="672">
        <v>2008</v>
      </c>
      <c r="C121" s="672" t="s">
        <v>2949</v>
      </c>
      <c r="D121" s="672"/>
      <c r="E121" s="672"/>
      <c r="F121" s="763">
        <v>25510</v>
      </c>
      <c r="G121" s="672"/>
      <c r="H121" s="672"/>
      <c r="I121" s="672">
        <v>4.5</v>
      </c>
      <c r="J121" s="759" t="s">
        <v>2500</v>
      </c>
      <c r="K121" s="672">
        <v>118</v>
      </c>
      <c r="L121" s="672"/>
      <c r="M121" s="672" t="s">
        <v>3140</v>
      </c>
      <c r="N121" s="672">
        <v>5</v>
      </c>
      <c r="O121" s="672">
        <v>75</v>
      </c>
      <c r="P121" s="672"/>
      <c r="Q121" s="672">
        <v>100</v>
      </c>
      <c r="R121" s="672"/>
      <c r="S121" s="672" t="s">
        <v>2785</v>
      </c>
      <c r="T121" s="758">
        <v>4300</v>
      </c>
      <c r="U121" s="758">
        <v>1987</v>
      </c>
      <c r="V121" s="758">
        <v>1530</v>
      </c>
      <c r="W121" s="758">
        <v>1205</v>
      </c>
      <c r="X121" s="672" t="s">
        <v>3284</v>
      </c>
      <c r="Y121" s="672" t="s">
        <v>3854</v>
      </c>
      <c r="Z121" s="672"/>
      <c r="AA121" s="672"/>
      <c r="AB121" s="672" t="s">
        <v>3249</v>
      </c>
      <c r="AC121" s="672" t="s">
        <v>3218</v>
      </c>
      <c r="AD121" s="672" t="s">
        <v>3282</v>
      </c>
      <c r="AE121" s="308" t="s">
        <v>3053</v>
      </c>
      <c r="AF121" s="308"/>
      <c r="AG121" s="308"/>
      <c r="AH121" s="308"/>
    </row>
    <row r="122" spans="1:36" x14ac:dyDescent="0.2">
      <c r="A122" s="758" t="s">
        <v>2997</v>
      </c>
      <c r="B122" s="758">
        <v>3008</v>
      </c>
      <c r="C122" s="758" t="s">
        <v>3284</v>
      </c>
      <c r="D122" s="758"/>
      <c r="E122" s="758"/>
      <c r="F122" s="763">
        <v>33000</v>
      </c>
      <c r="G122" s="758"/>
      <c r="H122" s="758"/>
      <c r="I122" s="758">
        <v>5.2</v>
      </c>
      <c r="J122" s="672" t="s">
        <v>2500</v>
      </c>
      <c r="K122" s="758">
        <v>136</v>
      </c>
      <c r="L122" s="758"/>
      <c r="M122" s="758" t="s">
        <v>3140</v>
      </c>
      <c r="N122" s="758">
        <v>5</v>
      </c>
      <c r="O122" s="758">
        <v>96</v>
      </c>
      <c r="P122" s="758"/>
      <c r="Q122" s="758">
        <v>130</v>
      </c>
      <c r="R122" s="758"/>
      <c r="S122" s="758" t="s">
        <v>2785</v>
      </c>
      <c r="T122" s="758">
        <v>4447</v>
      </c>
      <c r="U122" s="758">
        <v>2098</v>
      </c>
      <c r="V122" s="758">
        <v>1624</v>
      </c>
      <c r="W122" s="758">
        <v>1417</v>
      </c>
      <c r="X122" s="758" t="s">
        <v>3821</v>
      </c>
      <c r="Y122" s="758" t="s">
        <v>3882</v>
      </c>
      <c r="Z122" s="758"/>
      <c r="AA122" s="758"/>
      <c r="AB122" s="758" t="s">
        <v>3289</v>
      </c>
      <c r="AC122" s="758" t="s">
        <v>3290</v>
      </c>
      <c r="AD122" s="758"/>
      <c r="AE122" s="308"/>
      <c r="AF122" s="308"/>
      <c r="AG122" s="308"/>
      <c r="AH122" s="308"/>
    </row>
    <row r="123" spans="1:36" x14ac:dyDescent="0.2">
      <c r="A123" s="759" t="s">
        <v>2997</v>
      </c>
      <c r="B123" s="672">
        <v>5008</v>
      </c>
      <c r="C123" s="672" t="s">
        <v>3284</v>
      </c>
      <c r="D123" s="672"/>
      <c r="E123" s="672"/>
      <c r="F123" s="763">
        <v>34900</v>
      </c>
      <c r="G123" s="672"/>
      <c r="H123" s="672"/>
      <c r="I123" s="672">
        <v>5.3</v>
      </c>
      <c r="J123" s="672" t="s">
        <v>2500</v>
      </c>
      <c r="K123" s="672">
        <v>137</v>
      </c>
      <c r="L123" s="672"/>
      <c r="M123" s="672" t="s">
        <v>3140</v>
      </c>
      <c r="N123" s="672">
        <v>5</v>
      </c>
      <c r="O123" s="672">
        <v>96</v>
      </c>
      <c r="P123" s="672"/>
      <c r="Q123" s="672">
        <v>130</v>
      </c>
      <c r="R123" s="672"/>
      <c r="S123" s="672" t="s">
        <v>2785</v>
      </c>
      <c r="T123" s="758">
        <v>4641</v>
      </c>
      <c r="U123" s="758">
        <v>2098</v>
      </c>
      <c r="V123" s="758">
        <v>1646</v>
      </c>
      <c r="W123" s="758">
        <v>1430</v>
      </c>
      <c r="X123" s="672"/>
      <c r="Y123" s="672"/>
      <c r="Z123" s="672"/>
      <c r="AA123" s="672"/>
      <c r="AB123" s="672" t="s">
        <v>3289</v>
      </c>
      <c r="AC123" s="672" t="s">
        <v>3290</v>
      </c>
      <c r="AD123" s="672"/>
      <c r="AE123" s="308"/>
      <c r="AF123" s="308"/>
      <c r="AG123" s="308"/>
      <c r="AH123" s="308"/>
    </row>
    <row r="124" spans="1:36" x14ac:dyDescent="0.2">
      <c r="A124" s="672" t="s">
        <v>2997</v>
      </c>
      <c r="B124" s="672">
        <v>208</v>
      </c>
      <c r="C124" s="672" t="s">
        <v>2949</v>
      </c>
      <c r="D124" s="672" t="s">
        <v>2911</v>
      </c>
      <c r="E124" s="672"/>
      <c r="F124" s="763">
        <v>19530</v>
      </c>
      <c r="G124" s="672"/>
      <c r="H124" s="672"/>
      <c r="I124" s="672">
        <v>4.0999999999999996</v>
      </c>
      <c r="J124" s="759" t="s">
        <v>2823</v>
      </c>
      <c r="K124" s="672">
        <v>108</v>
      </c>
      <c r="L124" s="672"/>
      <c r="M124" s="672" t="s">
        <v>3140</v>
      </c>
      <c r="N124" s="672">
        <v>5</v>
      </c>
      <c r="O124" s="672">
        <v>75</v>
      </c>
      <c r="P124" s="672"/>
      <c r="Q124" s="672">
        <v>102</v>
      </c>
      <c r="R124" s="672"/>
      <c r="S124" s="672" t="s">
        <v>2785</v>
      </c>
      <c r="T124" s="758" t="s">
        <v>3913</v>
      </c>
      <c r="U124" s="758" t="s">
        <v>3927</v>
      </c>
      <c r="V124" s="758" t="s">
        <v>3944</v>
      </c>
      <c r="W124" s="758" t="s">
        <v>3957</v>
      </c>
      <c r="X124" s="672"/>
      <c r="Y124" s="672"/>
      <c r="Z124" s="672"/>
      <c r="AA124" s="672"/>
      <c r="AB124" s="672" t="s">
        <v>3790</v>
      </c>
      <c r="AC124" s="672" t="s">
        <v>3714</v>
      </c>
      <c r="AD124" s="672"/>
    </row>
    <row r="125" spans="1:36" x14ac:dyDescent="0.2">
      <c r="A125" s="672" t="s">
        <v>2997</v>
      </c>
      <c r="B125" s="672">
        <v>308</v>
      </c>
      <c r="C125" s="672" t="s">
        <v>2949</v>
      </c>
      <c r="D125" s="672"/>
      <c r="E125" s="672"/>
      <c r="F125" s="763">
        <v>23850</v>
      </c>
      <c r="G125" s="672"/>
      <c r="H125" s="672"/>
      <c r="I125" s="672">
        <v>4.5</v>
      </c>
      <c r="J125" s="672" t="s">
        <v>2823</v>
      </c>
      <c r="K125" s="672">
        <v>118</v>
      </c>
      <c r="L125" s="672"/>
      <c r="M125" s="672" t="s">
        <v>3140</v>
      </c>
      <c r="N125" s="672">
        <v>5</v>
      </c>
      <c r="O125" s="672">
        <v>75</v>
      </c>
      <c r="P125" s="672"/>
      <c r="Q125" s="672">
        <v>102</v>
      </c>
      <c r="R125" s="672"/>
      <c r="S125" s="672" t="s">
        <v>2785</v>
      </c>
      <c r="T125" s="758" t="s">
        <v>3926</v>
      </c>
      <c r="U125" s="758" t="s">
        <v>3941</v>
      </c>
      <c r="V125" s="672" t="s">
        <v>3956</v>
      </c>
      <c r="W125" s="672" t="s">
        <v>3971</v>
      </c>
      <c r="X125" s="672" t="s">
        <v>3263</v>
      </c>
      <c r="Y125" s="672" t="s">
        <v>3788</v>
      </c>
      <c r="Z125" s="672"/>
      <c r="AA125" s="672"/>
      <c r="AB125" s="672" t="s">
        <v>3267</v>
      </c>
      <c r="AC125" s="672" t="s">
        <v>3798</v>
      </c>
      <c r="AD125" s="672"/>
      <c r="AE125" s="304" t="s">
        <v>3234</v>
      </c>
    </row>
    <row r="126" spans="1:36" x14ac:dyDescent="0.2">
      <c r="A126" s="672" t="s">
        <v>2997</v>
      </c>
      <c r="B126" s="672">
        <v>508</v>
      </c>
      <c r="C126" s="672" t="s">
        <v>3284</v>
      </c>
      <c r="D126" s="672"/>
      <c r="E126" s="672"/>
      <c r="F126" s="763">
        <v>36750</v>
      </c>
      <c r="G126" s="672"/>
      <c r="H126" s="672"/>
      <c r="I126" s="672">
        <v>4.7</v>
      </c>
      <c r="J126" s="672" t="s">
        <v>2823</v>
      </c>
      <c r="K126" s="672">
        <v>120</v>
      </c>
      <c r="L126" s="672"/>
      <c r="M126" s="672" t="s">
        <v>3140</v>
      </c>
      <c r="N126" s="672">
        <v>5</v>
      </c>
      <c r="O126" s="672">
        <v>96</v>
      </c>
      <c r="P126" s="672"/>
      <c r="Q126" s="672">
        <v>130</v>
      </c>
      <c r="R126" s="672"/>
      <c r="S126" s="672" t="s">
        <v>2785</v>
      </c>
      <c r="T126" s="758" t="s">
        <v>3996</v>
      </c>
      <c r="U126" s="758" t="s">
        <v>4008</v>
      </c>
      <c r="V126" s="758" t="s">
        <v>4022</v>
      </c>
      <c r="W126" s="672" t="s">
        <v>4033</v>
      </c>
      <c r="X126" s="672" t="s">
        <v>3819</v>
      </c>
      <c r="Y126" s="672" t="s">
        <v>3820</v>
      </c>
      <c r="Z126" s="672" t="s">
        <v>3821</v>
      </c>
      <c r="AA126" s="672" t="s">
        <v>3822</v>
      </c>
      <c r="AB126" s="672" t="s">
        <v>3214</v>
      </c>
      <c r="AC126" s="672" t="s">
        <v>3840</v>
      </c>
      <c r="AD126" s="672"/>
      <c r="AE126" s="304" t="s">
        <v>3234</v>
      </c>
    </row>
    <row r="127" spans="1:36" x14ac:dyDescent="0.2">
      <c r="A127" s="672" t="s">
        <v>2997</v>
      </c>
      <c r="B127" s="672" t="s">
        <v>2941</v>
      </c>
      <c r="C127" s="672" t="s">
        <v>3284</v>
      </c>
      <c r="D127" s="672"/>
      <c r="E127" s="672"/>
      <c r="F127" s="763">
        <v>27800</v>
      </c>
      <c r="G127" s="672"/>
      <c r="H127" s="672"/>
      <c r="I127" s="672">
        <v>4.7</v>
      </c>
      <c r="J127" s="672" t="s">
        <v>2823</v>
      </c>
      <c r="K127" s="672">
        <v>122</v>
      </c>
      <c r="L127" s="672"/>
      <c r="M127" s="672" t="s">
        <v>3140</v>
      </c>
      <c r="N127" s="672">
        <v>5</v>
      </c>
      <c r="O127" s="672">
        <v>96</v>
      </c>
      <c r="P127" s="672"/>
      <c r="Q127" s="672">
        <v>130</v>
      </c>
      <c r="R127" s="672"/>
      <c r="S127" s="672" t="s">
        <v>2785</v>
      </c>
      <c r="T127" s="758" t="s">
        <v>3991</v>
      </c>
      <c r="U127" s="758" t="s">
        <v>3941</v>
      </c>
      <c r="V127" s="758" t="s">
        <v>4023</v>
      </c>
      <c r="W127" s="672" t="s">
        <v>3971</v>
      </c>
      <c r="X127" s="672"/>
      <c r="Y127" s="672"/>
      <c r="Z127" s="672"/>
      <c r="AA127" s="672"/>
      <c r="AB127" s="672" t="s">
        <v>3214</v>
      </c>
      <c r="AC127" s="672" t="s">
        <v>3844</v>
      </c>
      <c r="AD127" s="672" t="s">
        <v>2950</v>
      </c>
      <c r="AE127" s="308" t="s">
        <v>3147</v>
      </c>
      <c r="AF127" s="308" t="s">
        <v>3148</v>
      </c>
      <c r="AG127" s="308"/>
      <c r="AH127" s="308"/>
    </row>
    <row r="128" spans="1:36" x14ac:dyDescent="0.2">
      <c r="A128" s="672" t="s">
        <v>2997</v>
      </c>
      <c r="B128" s="672">
        <v>2008</v>
      </c>
      <c r="C128" s="672" t="s">
        <v>2949</v>
      </c>
      <c r="D128" s="672"/>
      <c r="E128" s="672"/>
      <c r="F128" s="763">
        <v>25510</v>
      </c>
      <c r="G128" s="672"/>
      <c r="H128" s="672"/>
      <c r="I128" s="672">
        <v>4.5</v>
      </c>
      <c r="J128" s="672" t="s">
        <v>2823</v>
      </c>
      <c r="K128" s="672">
        <v>118</v>
      </c>
      <c r="L128" s="672"/>
      <c r="M128" s="672" t="s">
        <v>3140</v>
      </c>
      <c r="N128" s="672">
        <v>5</v>
      </c>
      <c r="O128" s="672">
        <v>75</v>
      </c>
      <c r="P128" s="672"/>
      <c r="Q128" s="672">
        <v>100</v>
      </c>
      <c r="R128" s="672"/>
      <c r="S128" s="672" t="s">
        <v>2785</v>
      </c>
      <c r="T128" s="758" t="s">
        <v>4054</v>
      </c>
      <c r="U128" s="758" t="s">
        <v>4066</v>
      </c>
      <c r="V128" s="672" t="s">
        <v>4077</v>
      </c>
      <c r="W128" s="672" t="s">
        <v>3971</v>
      </c>
      <c r="X128" s="672" t="s">
        <v>3284</v>
      </c>
      <c r="Y128" s="672" t="s">
        <v>3854</v>
      </c>
      <c r="Z128" s="672"/>
      <c r="AA128" s="672"/>
      <c r="AB128" s="672" t="s">
        <v>3249</v>
      </c>
      <c r="AC128" s="672" t="s">
        <v>3218</v>
      </c>
      <c r="AD128" s="672" t="s">
        <v>3282</v>
      </c>
      <c r="AE128" s="308"/>
      <c r="AF128" s="308"/>
      <c r="AG128" s="308"/>
      <c r="AH128" s="308"/>
    </row>
    <row r="129" spans="1:36" x14ac:dyDescent="0.2">
      <c r="A129" s="758" t="s">
        <v>2984</v>
      </c>
      <c r="B129" s="758">
        <v>108</v>
      </c>
      <c r="C129" s="758" t="s">
        <v>3137</v>
      </c>
      <c r="D129" s="758"/>
      <c r="E129" s="758"/>
      <c r="F129" s="763">
        <v>12740</v>
      </c>
      <c r="G129" s="758"/>
      <c r="H129" s="758"/>
      <c r="I129" s="758">
        <v>4.8</v>
      </c>
      <c r="J129" s="672" t="s">
        <v>2500</v>
      </c>
      <c r="K129" s="758">
        <v>109</v>
      </c>
      <c r="L129" s="758"/>
      <c r="M129" s="758" t="s">
        <v>3140</v>
      </c>
      <c r="N129" s="758">
        <v>4</v>
      </c>
      <c r="O129" s="758">
        <v>53</v>
      </c>
      <c r="P129" s="758"/>
      <c r="Q129" s="758">
        <v>72</v>
      </c>
      <c r="R129" s="758"/>
      <c r="S129" s="758" t="s">
        <v>2762</v>
      </c>
      <c r="T129" s="758">
        <v>3475</v>
      </c>
      <c r="U129" s="758">
        <v>1884</v>
      </c>
      <c r="V129" s="758">
        <v>1460</v>
      </c>
      <c r="W129" s="758">
        <v>915</v>
      </c>
      <c r="X129" s="758"/>
      <c r="Y129" s="758"/>
      <c r="Z129" s="758"/>
      <c r="AA129" s="758" t="s">
        <v>3059</v>
      </c>
      <c r="AB129" s="758" t="s">
        <v>3591</v>
      </c>
      <c r="AC129" s="758"/>
      <c r="AD129" s="758" t="s">
        <v>2779</v>
      </c>
      <c r="AF129" s="304" t="s">
        <v>3190</v>
      </c>
      <c r="AG129" s="304" t="s">
        <v>2950</v>
      </c>
    </row>
    <row r="130" spans="1:36" x14ac:dyDescent="0.2">
      <c r="A130" s="672" t="s">
        <v>2992</v>
      </c>
      <c r="B130" s="672" t="s">
        <v>2895</v>
      </c>
      <c r="C130" s="672" t="s">
        <v>3567</v>
      </c>
      <c r="D130" s="672"/>
      <c r="E130" s="672"/>
      <c r="F130" s="763">
        <v>9990</v>
      </c>
      <c r="G130" s="672"/>
      <c r="H130" s="672"/>
      <c r="I130" s="672">
        <v>5.3</v>
      </c>
      <c r="J130" s="759" t="s">
        <v>2500</v>
      </c>
      <c r="K130" s="672">
        <v>119</v>
      </c>
      <c r="L130" s="672"/>
      <c r="M130" s="672" t="s">
        <v>3572</v>
      </c>
      <c r="N130" s="672">
        <v>4</v>
      </c>
      <c r="O130" s="672">
        <v>54</v>
      </c>
      <c r="P130" s="672"/>
      <c r="Q130" s="672">
        <v>74</v>
      </c>
      <c r="R130" s="672"/>
      <c r="S130" s="672" t="s">
        <v>2762</v>
      </c>
      <c r="T130" s="758">
        <v>3615</v>
      </c>
      <c r="U130" s="758">
        <v>1646</v>
      </c>
      <c r="V130" s="758">
        <v>1541</v>
      </c>
      <c r="W130" s="758">
        <v>981</v>
      </c>
      <c r="X130" s="672" t="s">
        <v>3578</v>
      </c>
      <c r="Y130" s="672" t="s">
        <v>3579</v>
      </c>
      <c r="Z130" s="672"/>
      <c r="AA130" s="672" t="s">
        <v>3596</v>
      </c>
      <c r="AB130" s="672"/>
      <c r="AC130" s="672"/>
      <c r="AD130" s="672"/>
      <c r="AE130" s="308" t="s">
        <v>3150</v>
      </c>
      <c r="AF130" s="308" t="s">
        <v>3151</v>
      </c>
      <c r="AG130" s="308"/>
      <c r="AH130" s="308"/>
    </row>
    <row r="131" spans="1:36" x14ac:dyDescent="0.2">
      <c r="A131" s="672" t="s">
        <v>2992</v>
      </c>
      <c r="B131" s="672" t="s">
        <v>2542</v>
      </c>
      <c r="C131" s="672" t="s">
        <v>3567</v>
      </c>
      <c r="D131" s="672"/>
      <c r="E131" s="672"/>
      <c r="F131" s="763">
        <v>12940</v>
      </c>
      <c r="G131" s="672"/>
      <c r="H131" s="672"/>
      <c r="I131" s="672">
        <v>5.4</v>
      </c>
      <c r="J131" s="672" t="s">
        <v>2500</v>
      </c>
      <c r="K131" s="672">
        <v>120</v>
      </c>
      <c r="L131" s="672"/>
      <c r="M131" s="672" t="s">
        <v>3572</v>
      </c>
      <c r="N131" s="672">
        <v>5</v>
      </c>
      <c r="O131" s="672">
        <v>53</v>
      </c>
      <c r="P131" s="672"/>
      <c r="Q131" s="672">
        <v>72</v>
      </c>
      <c r="R131" s="672"/>
      <c r="S131" s="672" t="s">
        <v>2762</v>
      </c>
      <c r="T131" s="758">
        <v>4050</v>
      </c>
      <c r="U131" s="758">
        <v>1988</v>
      </c>
      <c r="V131" s="758">
        <v>1440</v>
      </c>
      <c r="W131" s="758">
        <v>1148</v>
      </c>
      <c r="X131" s="672" t="s">
        <v>3199</v>
      </c>
      <c r="Y131" s="672" t="s">
        <v>3628</v>
      </c>
      <c r="Z131" s="672" t="s">
        <v>3629</v>
      </c>
      <c r="AA131" s="672" t="s">
        <v>3630</v>
      </c>
      <c r="AB131" s="672"/>
      <c r="AC131" s="672"/>
      <c r="AD131" s="672" t="s">
        <v>3658</v>
      </c>
      <c r="AF131" s="308" t="s">
        <v>3149</v>
      </c>
      <c r="AG131" s="308" t="s">
        <v>2939</v>
      </c>
      <c r="AH131" s="308"/>
    </row>
    <row r="132" spans="1:36" x14ac:dyDescent="0.2">
      <c r="A132" s="672" t="s">
        <v>2992</v>
      </c>
      <c r="B132" s="672" t="s">
        <v>2790</v>
      </c>
      <c r="C132" s="672" t="s">
        <v>3092</v>
      </c>
      <c r="D132" s="672"/>
      <c r="E132" s="672"/>
      <c r="F132" s="763">
        <v>19290</v>
      </c>
      <c r="G132" s="672"/>
      <c r="H132" s="672"/>
      <c r="I132" s="672">
        <v>5.9</v>
      </c>
      <c r="J132" s="759" t="s">
        <v>2500</v>
      </c>
      <c r="K132" s="672">
        <v>135</v>
      </c>
      <c r="L132" s="672"/>
      <c r="M132" s="672" t="s">
        <v>3572</v>
      </c>
      <c r="N132" s="672">
        <v>5</v>
      </c>
      <c r="O132" s="672">
        <v>84</v>
      </c>
      <c r="P132" s="672"/>
      <c r="Q132" s="672">
        <v>115</v>
      </c>
      <c r="R132" s="672"/>
      <c r="S132" s="672" t="s">
        <v>2785</v>
      </c>
      <c r="T132" s="758">
        <v>4626</v>
      </c>
      <c r="U132" s="758">
        <v>2058</v>
      </c>
      <c r="V132" s="758">
        <v>1457</v>
      </c>
      <c r="W132" s="758">
        <v>1231</v>
      </c>
      <c r="X132" s="672" t="s">
        <v>3207</v>
      </c>
      <c r="Y132" s="672" t="s">
        <v>3698</v>
      </c>
      <c r="Z132" s="672" t="s">
        <v>3208</v>
      </c>
      <c r="AA132" s="672" t="s">
        <v>3699</v>
      </c>
      <c r="AB132" s="672"/>
      <c r="AC132" s="672"/>
      <c r="AD132" s="672" t="s">
        <v>3217</v>
      </c>
      <c r="AF132" s="304" t="s">
        <v>3150</v>
      </c>
      <c r="AG132" s="304" t="s">
        <v>3181</v>
      </c>
    </row>
    <row r="133" spans="1:36" x14ac:dyDescent="0.2">
      <c r="A133" s="759" t="s">
        <v>2992</v>
      </c>
      <c r="B133" s="672" t="s">
        <v>2798</v>
      </c>
      <c r="C133" s="672" t="s">
        <v>3199</v>
      </c>
      <c r="D133" s="672"/>
      <c r="E133" s="672"/>
      <c r="F133" s="763">
        <v>18540</v>
      </c>
      <c r="G133" s="672"/>
      <c r="H133" s="672"/>
      <c r="I133" s="672">
        <v>5.9</v>
      </c>
      <c r="J133" s="672" t="s">
        <v>2500</v>
      </c>
      <c r="K133" s="672">
        <v>134</v>
      </c>
      <c r="L133" s="672"/>
      <c r="M133" s="672" t="s">
        <v>3140</v>
      </c>
      <c r="N133" s="672">
        <v>5</v>
      </c>
      <c r="O133" s="672">
        <v>74</v>
      </c>
      <c r="P133" s="672"/>
      <c r="Q133" s="672">
        <v>100</v>
      </c>
      <c r="R133" s="672"/>
      <c r="S133" s="672" t="s">
        <v>2762</v>
      </c>
      <c r="T133" s="758">
        <v>4227</v>
      </c>
      <c r="U133" s="758">
        <v>2003</v>
      </c>
      <c r="V133" s="758">
        <v>1576</v>
      </c>
      <c r="W133" s="758">
        <v>1248</v>
      </c>
      <c r="X133" s="672" t="s">
        <v>3629</v>
      </c>
      <c r="Y133" s="672" t="s">
        <v>3720</v>
      </c>
      <c r="Z133" s="672"/>
      <c r="AA133" s="672"/>
      <c r="AB133" s="672" t="s">
        <v>3658</v>
      </c>
      <c r="AC133" s="672" t="s">
        <v>3726</v>
      </c>
      <c r="AD133" s="672"/>
      <c r="AE133" s="511"/>
      <c r="AF133" s="511" t="s">
        <v>3150</v>
      </c>
      <c r="AG133" s="511" t="s">
        <v>3181</v>
      </c>
      <c r="AH133" s="511"/>
      <c r="AI133" s="511"/>
      <c r="AJ133" s="511"/>
    </row>
    <row r="134" spans="1:36" x14ac:dyDescent="0.2">
      <c r="A134" s="758" t="s">
        <v>2992</v>
      </c>
      <c r="B134" s="758" t="s">
        <v>3283</v>
      </c>
      <c r="C134" s="758" t="s">
        <v>3207</v>
      </c>
      <c r="D134" s="758"/>
      <c r="E134" s="758"/>
      <c r="F134" s="763">
        <v>22890</v>
      </c>
      <c r="G134" s="758"/>
      <c r="H134" s="758"/>
      <c r="I134" s="758">
        <v>6.5</v>
      </c>
      <c r="J134" s="672" t="s">
        <v>2500</v>
      </c>
      <c r="K134" s="758">
        <v>146</v>
      </c>
      <c r="L134" s="758"/>
      <c r="M134" s="758" t="s">
        <v>3572</v>
      </c>
      <c r="N134" s="758">
        <v>5</v>
      </c>
      <c r="O134" s="758">
        <v>103</v>
      </c>
      <c r="P134" s="758"/>
      <c r="Q134" s="758">
        <v>140</v>
      </c>
      <c r="R134" s="758"/>
      <c r="S134" s="758" t="s">
        <v>2785</v>
      </c>
      <c r="T134" s="758">
        <v>4489</v>
      </c>
      <c r="U134" s="758">
        <v>2058</v>
      </c>
      <c r="V134" s="758">
        <v>1607</v>
      </c>
      <c r="W134" s="758">
        <v>1442</v>
      </c>
      <c r="X134" s="758" t="s">
        <v>3208</v>
      </c>
      <c r="Y134" s="758" t="s">
        <v>3752</v>
      </c>
      <c r="Z134" s="758"/>
      <c r="AA134" s="758"/>
      <c r="AB134" s="758" t="s">
        <v>3658</v>
      </c>
      <c r="AC134" s="758" t="s">
        <v>3260</v>
      </c>
      <c r="AD134" s="758"/>
      <c r="AF134" s="304" t="s">
        <v>3216</v>
      </c>
      <c r="AG134" s="304" t="s">
        <v>2787</v>
      </c>
    </row>
    <row r="135" spans="1:36" x14ac:dyDescent="0.2">
      <c r="A135" s="672" t="s">
        <v>2992</v>
      </c>
      <c r="B135" s="672" t="s">
        <v>2801</v>
      </c>
      <c r="C135" s="672" t="s">
        <v>3092</v>
      </c>
      <c r="D135" s="672"/>
      <c r="E135" s="672"/>
      <c r="F135" s="763">
        <v>21390</v>
      </c>
      <c r="G135" s="672"/>
      <c r="H135" s="672"/>
      <c r="I135" s="672">
        <v>6.6</v>
      </c>
      <c r="J135" s="672" t="s">
        <v>2500</v>
      </c>
      <c r="K135" s="672">
        <v>149</v>
      </c>
      <c r="L135" s="672"/>
      <c r="M135" s="672" t="s">
        <v>3140</v>
      </c>
      <c r="N135" s="672">
        <v>5</v>
      </c>
      <c r="O135" s="672">
        <v>85</v>
      </c>
      <c r="P135" s="672"/>
      <c r="Q135" s="672">
        <v>115</v>
      </c>
      <c r="R135" s="672"/>
      <c r="S135" s="672" t="s">
        <v>2785</v>
      </c>
      <c r="T135" s="758">
        <v>4406</v>
      </c>
      <c r="U135" s="758">
        <v>2128</v>
      </c>
      <c r="V135" s="758">
        <v>1653</v>
      </c>
      <c r="W135" s="758">
        <v>1528</v>
      </c>
      <c r="X135" s="672" t="s">
        <v>3207</v>
      </c>
      <c r="Y135" s="672" t="s">
        <v>3754</v>
      </c>
      <c r="Z135" s="672" t="s">
        <v>3208</v>
      </c>
      <c r="AA135" s="672" t="s">
        <v>3755</v>
      </c>
      <c r="AB135" s="672" t="s">
        <v>3761</v>
      </c>
      <c r="AC135" s="672" t="s">
        <v>3257</v>
      </c>
      <c r="AD135" s="672"/>
    </row>
    <row r="136" spans="1:36" x14ac:dyDescent="0.2">
      <c r="A136" s="672" t="s">
        <v>2992</v>
      </c>
      <c r="B136" s="672" t="s">
        <v>2542</v>
      </c>
      <c r="C136" s="672" t="s">
        <v>3768</v>
      </c>
      <c r="D136" s="672"/>
      <c r="E136" s="672"/>
      <c r="F136" s="763">
        <v>18790</v>
      </c>
      <c r="G136" s="672"/>
      <c r="H136" s="672"/>
      <c r="I136" s="672">
        <v>4.2</v>
      </c>
      <c r="J136" s="759" t="s">
        <v>2500</v>
      </c>
      <c r="K136" s="672">
        <v>109</v>
      </c>
      <c r="L136" s="672"/>
      <c r="M136" s="672" t="s">
        <v>3140</v>
      </c>
      <c r="N136" s="672">
        <v>5</v>
      </c>
      <c r="O136" s="672">
        <v>63</v>
      </c>
      <c r="P136" s="672"/>
      <c r="Q136" s="672">
        <v>85</v>
      </c>
      <c r="R136" s="672"/>
      <c r="S136" s="672" t="s">
        <v>2785</v>
      </c>
      <c r="T136" s="758">
        <v>4050</v>
      </c>
      <c r="U136" s="758">
        <v>1988</v>
      </c>
      <c r="V136" s="758">
        <v>1440</v>
      </c>
      <c r="W136" s="758">
        <v>1277</v>
      </c>
      <c r="X136" s="672" t="s">
        <v>3270</v>
      </c>
      <c r="Y136" s="672" t="s">
        <v>3773</v>
      </c>
      <c r="Z136" s="672"/>
      <c r="AA136" s="672"/>
      <c r="AB136" s="672" t="s">
        <v>3658</v>
      </c>
      <c r="AC136" s="672" t="s">
        <v>3791</v>
      </c>
      <c r="AD136" s="672"/>
    </row>
    <row r="137" spans="1:36" x14ac:dyDescent="0.2">
      <c r="A137" s="672" t="s">
        <v>2992</v>
      </c>
      <c r="B137" s="758" t="s">
        <v>3765</v>
      </c>
      <c r="C137" s="758" t="s">
        <v>3270</v>
      </c>
      <c r="D137" s="758"/>
      <c r="E137" s="758"/>
      <c r="F137" s="763">
        <v>24090</v>
      </c>
      <c r="G137" s="758"/>
      <c r="H137" s="758"/>
      <c r="I137" s="758">
        <v>4.5</v>
      </c>
      <c r="J137" s="672" t="s">
        <v>2500</v>
      </c>
      <c r="K137" s="758">
        <v>117</v>
      </c>
      <c r="L137" s="758"/>
      <c r="M137" s="758" t="s">
        <v>3140</v>
      </c>
      <c r="N137" s="758">
        <v>5</v>
      </c>
      <c r="O137" s="758">
        <v>85</v>
      </c>
      <c r="P137" s="758"/>
      <c r="Q137" s="758">
        <v>115</v>
      </c>
      <c r="R137" s="758"/>
      <c r="S137" s="758" t="s">
        <v>2785</v>
      </c>
      <c r="T137" s="758">
        <v>4359</v>
      </c>
      <c r="U137" s="758">
        <v>2058</v>
      </c>
      <c r="V137" s="758">
        <v>1447</v>
      </c>
      <c r="W137" s="758">
        <v>1315</v>
      </c>
      <c r="X137" s="758"/>
      <c r="Y137" s="758"/>
      <c r="Z137" s="758"/>
      <c r="AA137" s="758"/>
      <c r="AB137" s="758" t="s">
        <v>3658</v>
      </c>
      <c r="AC137" s="758" t="s">
        <v>3797</v>
      </c>
      <c r="AD137" s="758"/>
      <c r="AE137" s="304" t="s">
        <v>3256</v>
      </c>
      <c r="AG137" s="304" t="s">
        <v>2948</v>
      </c>
      <c r="AH137" s="304" t="s">
        <v>2781</v>
      </c>
    </row>
    <row r="138" spans="1:36" x14ac:dyDescent="0.2">
      <c r="A138" s="672" t="s">
        <v>2992</v>
      </c>
      <c r="B138" s="672" t="s">
        <v>2790</v>
      </c>
      <c r="C138" s="672" t="s">
        <v>3270</v>
      </c>
      <c r="D138" s="672"/>
      <c r="E138" s="672"/>
      <c r="F138" s="763">
        <v>25090</v>
      </c>
      <c r="G138" s="672"/>
      <c r="H138" s="672"/>
      <c r="I138" s="672">
        <v>4.5</v>
      </c>
      <c r="J138" s="759" t="s">
        <v>2500</v>
      </c>
      <c r="K138" s="672">
        <v>118</v>
      </c>
      <c r="L138" s="672"/>
      <c r="M138" s="672" t="s">
        <v>3140</v>
      </c>
      <c r="N138" s="672">
        <v>5</v>
      </c>
      <c r="O138" s="672">
        <v>85</v>
      </c>
      <c r="P138" s="672"/>
      <c r="Q138" s="672">
        <v>116</v>
      </c>
      <c r="R138" s="672"/>
      <c r="S138" s="672" t="s">
        <v>2785</v>
      </c>
      <c r="T138" s="758">
        <v>4626</v>
      </c>
      <c r="U138" s="758">
        <v>2058</v>
      </c>
      <c r="V138" s="758">
        <v>1449</v>
      </c>
      <c r="W138" s="758">
        <v>1315</v>
      </c>
      <c r="X138" s="672"/>
      <c r="Y138" s="672"/>
      <c r="Z138" s="672"/>
      <c r="AA138" s="672"/>
      <c r="AB138" s="672" t="s">
        <v>3275</v>
      </c>
      <c r="AC138" s="672" t="s">
        <v>3276</v>
      </c>
      <c r="AD138" s="672"/>
    </row>
    <row r="139" spans="1:36" x14ac:dyDescent="0.2">
      <c r="A139" s="758" t="s">
        <v>2992</v>
      </c>
      <c r="B139" s="758" t="s">
        <v>2798</v>
      </c>
      <c r="C139" s="758" t="s">
        <v>3270</v>
      </c>
      <c r="D139" s="758"/>
      <c r="E139" s="758"/>
      <c r="F139" s="763">
        <v>24890</v>
      </c>
      <c r="G139" s="758"/>
      <c r="H139" s="758"/>
      <c r="I139" s="758">
        <v>4.7</v>
      </c>
      <c r="J139" s="672" t="s">
        <v>2500</v>
      </c>
      <c r="K139" s="758">
        <v>123</v>
      </c>
      <c r="L139" s="758"/>
      <c r="M139" s="758" t="s">
        <v>3140</v>
      </c>
      <c r="N139" s="758">
        <v>5</v>
      </c>
      <c r="O139" s="758">
        <v>85</v>
      </c>
      <c r="P139" s="758"/>
      <c r="Q139" s="758">
        <v>115</v>
      </c>
      <c r="R139" s="758"/>
      <c r="S139" s="758" t="s">
        <v>2785</v>
      </c>
      <c r="T139" s="758">
        <v>4227</v>
      </c>
      <c r="U139" s="758">
        <v>2003</v>
      </c>
      <c r="V139" s="758">
        <v>1576</v>
      </c>
      <c r="W139" s="758">
        <v>1490</v>
      </c>
      <c r="X139" s="758"/>
      <c r="Y139" s="758"/>
      <c r="Z139" s="758"/>
      <c r="AA139" s="758"/>
      <c r="AB139" s="758" t="s">
        <v>2717</v>
      </c>
      <c r="AC139" s="758" t="s">
        <v>3868</v>
      </c>
      <c r="AD139" s="758" t="s">
        <v>3282</v>
      </c>
    </row>
    <row r="140" spans="1:36" x14ac:dyDescent="0.2">
      <c r="A140" s="672" t="s">
        <v>2992</v>
      </c>
      <c r="B140" s="672" t="s">
        <v>3283</v>
      </c>
      <c r="C140" s="672" t="s">
        <v>3270</v>
      </c>
      <c r="D140" s="672"/>
      <c r="E140" s="672"/>
      <c r="F140" s="763">
        <v>27090</v>
      </c>
      <c r="G140" s="672"/>
      <c r="H140" s="672"/>
      <c r="I140" s="672">
        <v>5</v>
      </c>
      <c r="J140" s="672" t="s">
        <v>2500</v>
      </c>
      <c r="K140" s="672">
        <v>131</v>
      </c>
      <c r="L140" s="672"/>
      <c r="M140" s="672" t="s">
        <v>3140</v>
      </c>
      <c r="N140" s="672">
        <v>5</v>
      </c>
      <c r="O140" s="672">
        <v>85</v>
      </c>
      <c r="P140" s="672"/>
      <c r="Q140" s="672">
        <v>115</v>
      </c>
      <c r="R140" s="672"/>
      <c r="S140" s="672" t="s">
        <v>2785</v>
      </c>
      <c r="T140" s="758">
        <v>4489</v>
      </c>
      <c r="U140" s="758">
        <v>2058</v>
      </c>
      <c r="V140" s="758">
        <v>1613</v>
      </c>
      <c r="W140" s="758">
        <v>1531</v>
      </c>
      <c r="X140" s="672" t="s">
        <v>3878</v>
      </c>
      <c r="Y140" s="672" t="s">
        <v>3879</v>
      </c>
      <c r="Z140" s="672"/>
      <c r="AA140" s="672"/>
      <c r="AB140" s="672" t="s">
        <v>3887</v>
      </c>
      <c r="AC140" s="672" t="s">
        <v>3260</v>
      </c>
      <c r="AD140" s="672"/>
    </row>
    <row r="141" spans="1:36" ht="12.75" x14ac:dyDescent="0.2">
      <c r="A141" s="672" t="s">
        <v>2992</v>
      </c>
      <c r="B141" s="672" t="s">
        <v>2542</v>
      </c>
      <c r="C141" s="672" t="s">
        <v>3768</v>
      </c>
      <c r="D141" s="672"/>
      <c r="E141" s="672"/>
      <c r="F141" s="763">
        <v>18790</v>
      </c>
      <c r="G141" s="672"/>
      <c r="H141" s="672"/>
      <c r="I141" s="672">
        <v>4.2</v>
      </c>
      <c r="J141" s="759" t="s">
        <v>2823</v>
      </c>
      <c r="K141" s="672">
        <v>109</v>
      </c>
      <c r="L141" s="672"/>
      <c r="M141" s="672" t="s">
        <v>3140</v>
      </c>
      <c r="N141" s="672">
        <v>5</v>
      </c>
      <c r="O141" s="672">
        <v>63</v>
      </c>
      <c r="P141" s="672"/>
      <c r="Q141" s="672">
        <v>85</v>
      </c>
      <c r="R141" s="672"/>
      <c r="S141" s="672" t="s">
        <v>2785</v>
      </c>
      <c r="T141" s="758" t="s">
        <v>3914</v>
      </c>
      <c r="U141" s="758" t="s">
        <v>3929</v>
      </c>
      <c r="V141" s="758" t="s">
        <v>3945</v>
      </c>
      <c r="W141" s="758" t="s">
        <v>3959</v>
      </c>
      <c r="X141" s="672" t="s">
        <v>3270</v>
      </c>
      <c r="Y141" s="672" t="s">
        <v>3773</v>
      </c>
      <c r="Z141" s="672"/>
      <c r="AA141" s="672"/>
      <c r="AB141" s="672" t="s">
        <v>3658</v>
      </c>
      <c r="AC141" s="672" t="s">
        <v>3791</v>
      </c>
      <c r="AD141" s="672"/>
      <c r="AE141" s="304" t="s">
        <v>3108</v>
      </c>
    </row>
    <row r="142" spans="1:36" x14ac:dyDescent="0.2">
      <c r="A142" s="672" t="s">
        <v>2992</v>
      </c>
      <c r="B142" s="672" t="s">
        <v>3765</v>
      </c>
      <c r="C142" s="672" t="s">
        <v>3270</v>
      </c>
      <c r="D142" s="672"/>
      <c r="E142" s="672"/>
      <c r="F142" s="763">
        <v>24090</v>
      </c>
      <c r="G142" s="672"/>
      <c r="H142" s="672"/>
      <c r="I142" s="672">
        <v>4.5</v>
      </c>
      <c r="J142" s="672" t="s">
        <v>2823</v>
      </c>
      <c r="K142" s="672">
        <v>117</v>
      </c>
      <c r="L142" s="672"/>
      <c r="M142" s="672" t="s">
        <v>3140</v>
      </c>
      <c r="N142" s="672">
        <v>5</v>
      </c>
      <c r="O142" s="672">
        <v>85</v>
      </c>
      <c r="P142" s="672"/>
      <c r="Q142" s="672">
        <v>115</v>
      </c>
      <c r="R142" s="672"/>
      <c r="S142" s="672" t="s">
        <v>2785</v>
      </c>
      <c r="T142" s="672" t="s">
        <v>3920</v>
      </c>
      <c r="U142" s="758" t="s">
        <v>3935</v>
      </c>
      <c r="V142" s="758" t="s">
        <v>3951</v>
      </c>
      <c r="W142" s="672" t="s">
        <v>3965</v>
      </c>
      <c r="X142" s="672"/>
      <c r="Y142" s="672"/>
      <c r="Z142" s="672"/>
      <c r="AA142" s="672"/>
      <c r="AB142" s="672" t="s">
        <v>3658</v>
      </c>
      <c r="AC142" s="672" t="s">
        <v>3797</v>
      </c>
      <c r="AD142" s="672"/>
    </row>
    <row r="143" spans="1:36" x14ac:dyDescent="0.2">
      <c r="A143" s="672" t="s">
        <v>2992</v>
      </c>
      <c r="B143" s="672" t="s">
        <v>2790</v>
      </c>
      <c r="C143" s="672" t="s">
        <v>3270</v>
      </c>
      <c r="D143" s="672"/>
      <c r="E143" s="672"/>
      <c r="F143" s="763">
        <v>25090</v>
      </c>
      <c r="G143" s="672"/>
      <c r="H143" s="672"/>
      <c r="I143" s="672">
        <v>4.5</v>
      </c>
      <c r="J143" s="672" t="s">
        <v>2823</v>
      </c>
      <c r="K143" s="672">
        <v>118</v>
      </c>
      <c r="L143" s="672"/>
      <c r="M143" s="672" t="s">
        <v>3140</v>
      </c>
      <c r="N143" s="672">
        <v>5</v>
      </c>
      <c r="O143" s="672">
        <v>85</v>
      </c>
      <c r="P143" s="672"/>
      <c r="Q143" s="672">
        <v>116</v>
      </c>
      <c r="R143" s="672"/>
      <c r="S143" s="672" t="s">
        <v>2785</v>
      </c>
      <c r="T143" s="672" t="s">
        <v>3993</v>
      </c>
      <c r="U143" s="758" t="s">
        <v>3935</v>
      </c>
      <c r="V143" s="758" t="s">
        <v>4019</v>
      </c>
      <c r="W143" s="672" t="s">
        <v>3965</v>
      </c>
      <c r="X143" s="672"/>
      <c r="Y143" s="672"/>
      <c r="Z143" s="672"/>
      <c r="AA143" s="672"/>
      <c r="AB143" s="672" t="s">
        <v>3275</v>
      </c>
      <c r="AC143" s="672" t="s">
        <v>3276</v>
      </c>
      <c r="AD143" s="672"/>
    </row>
    <row r="144" spans="1:36" x14ac:dyDescent="0.2">
      <c r="A144" s="672" t="s">
        <v>2992</v>
      </c>
      <c r="B144" s="672" t="s">
        <v>2798</v>
      </c>
      <c r="C144" s="672" t="s">
        <v>3270</v>
      </c>
      <c r="D144" s="672"/>
      <c r="E144" s="672"/>
      <c r="F144" s="763">
        <v>24890</v>
      </c>
      <c r="G144" s="672"/>
      <c r="H144" s="672"/>
      <c r="I144" s="672">
        <v>4.7</v>
      </c>
      <c r="J144" s="672" t="s">
        <v>2823</v>
      </c>
      <c r="K144" s="672">
        <v>123</v>
      </c>
      <c r="L144" s="672"/>
      <c r="M144" s="672" t="s">
        <v>3140</v>
      </c>
      <c r="N144" s="672">
        <v>5</v>
      </c>
      <c r="O144" s="672">
        <v>85</v>
      </c>
      <c r="P144" s="672"/>
      <c r="Q144" s="672">
        <v>115</v>
      </c>
      <c r="R144" s="672"/>
      <c r="S144" s="672" t="s">
        <v>2785</v>
      </c>
      <c r="T144" s="758" t="s">
        <v>4057</v>
      </c>
      <c r="U144" s="758" t="s">
        <v>4068</v>
      </c>
      <c r="V144" s="758" t="s">
        <v>4079</v>
      </c>
      <c r="W144" s="672" t="s">
        <v>4090</v>
      </c>
      <c r="X144" s="672"/>
      <c r="Y144" s="672"/>
      <c r="Z144" s="672"/>
      <c r="AA144" s="672"/>
      <c r="AB144" s="672" t="s">
        <v>2717</v>
      </c>
      <c r="AC144" s="672" t="s">
        <v>3868</v>
      </c>
      <c r="AD144" s="672" t="s">
        <v>3282</v>
      </c>
      <c r="AE144" s="304" t="s">
        <v>2781</v>
      </c>
    </row>
    <row r="145" spans="1:103" s="412" customFormat="1" x14ac:dyDescent="0.2">
      <c r="A145" s="672" t="s">
        <v>3110</v>
      </c>
      <c r="B145" s="672" t="s">
        <v>2783</v>
      </c>
      <c r="C145" s="672" t="s">
        <v>3138</v>
      </c>
      <c r="D145" s="672"/>
      <c r="E145" s="672"/>
      <c r="F145" s="763">
        <v>12990</v>
      </c>
      <c r="G145" s="672"/>
      <c r="H145" s="672"/>
      <c r="I145" s="672">
        <v>5.4</v>
      </c>
      <c r="J145" s="759" t="s">
        <v>2500</v>
      </c>
      <c r="K145" s="672">
        <v>122</v>
      </c>
      <c r="L145" s="672"/>
      <c r="M145" s="672" t="s">
        <v>3140</v>
      </c>
      <c r="N145" s="672">
        <v>5</v>
      </c>
      <c r="O145" s="672">
        <v>59</v>
      </c>
      <c r="P145" s="672"/>
      <c r="Q145" s="672">
        <v>80</v>
      </c>
      <c r="R145" s="672"/>
      <c r="S145" s="672" t="s">
        <v>2762</v>
      </c>
      <c r="T145" s="758">
        <v>4059</v>
      </c>
      <c r="U145" s="758">
        <v>1942</v>
      </c>
      <c r="V145" s="758">
        <v>1444</v>
      </c>
      <c r="W145" s="758">
        <v>1099</v>
      </c>
      <c r="X145" s="672" t="s">
        <v>3171</v>
      </c>
      <c r="Y145" s="672" t="s">
        <v>3632</v>
      </c>
      <c r="Z145" s="672" t="s">
        <v>3171</v>
      </c>
      <c r="AA145" s="672" t="s">
        <v>3633</v>
      </c>
      <c r="AB145" s="672" t="s">
        <v>3634</v>
      </c>
      <c r="AC145" s="672"/>
      <c r="AD145" s="672" t="s">
        <v>3661</v>
      </c>
      <c r="AE145" t="s">
        <v>2781</v>
      </c>
      <c r="AF145"/>
      <c r="AG145"/>
      <c r="AH145"/>
      <c r="AI145" s="304"/>
      <c r="AJ145" s="304"/>
      <c r="AK145" s="304"/>
      <c r="AL145" s="304"/>
      <c r="AM145" s="304"/>
      <c r="AN145" s="304"/>
      <c r="AO145" s="304"/>
    </row>
    <row r="146" spans="1:103" s="412" customFormat="1" x14ac:dyDescent="0.2">
      <c r="A146" s="672" t="s">
        <v>3110</v>
      </c>
      <c r="B146" s="672" t="s">
        <v>2782</v>
      </c>
      <c r="C146" s="672" t="s">
        <v>2915</v>
      </c>
      <c r="D146" s="672"/>
      <c r="E146" s="672"/>
      <c r="F146" s="763">
        <v>19990</v>
      </c>
      <c r="G146" s="672"/>
      <c r="H146" s="672"/>
      <c r="I146" s="672">
        <v>5.4</v>
      </c>
      <c r="J146" s="759" t="s">
        <v>2500</v>
      </c>
      <c r="K146" s="672">
        <v>122</v>
      </c>
      <c r="L146" s="672"/>
      <c r="M146" s="672" t="s">
        <v>3140</v>
      </c>
      <c r="N146" s="672">
        <v>5</v>
      </c>
      <c r="O146" s="672">
        <v>81</v>
      </c>
      <c r="P146" s="672"/>
      <c r="Q146" s="672">
        <v>110</v>
      </c>
      <c r="R146" s="672"/>
      <c r="S146" s="672" t="s">
        <v>2785</v>
      </c>
      <c r="T146" s="758">
        <v>4282</v>
      </c>
      <c r="U146" s="758">
        <v>1816</v>
      </c>
      <c r="V146" s="758">
        <v>1459</v>
      </c>
      <c r="W146" s="758">
        <v>1202</v>
      </c>
      <c r="X146" s="672"/>
      <c r="Y146" s="672"/>
      <c r="Z146" s="672"/>
      <c r="AA146" s="672"/>
      <c r="AB146" s="672"/>
      <c r="AC146" s="672"/>
      <c r="AD146" s="672" t="s">
        <v>3663</v>
      </c>
      <c r="AE146"/>
      <c r="AF146"/>
      <c r="AG146"/>
      <c r="AH146"/>
      <c r="AI146" s="304"/>
      <c r="AJ146" s="304"/>
      <c r="AK146" s="304"/>
      <c r="AL146" s="304"/>
      <c r="AM146" s="304"/>
      <c r="AN146" s="304"/>
      <c r="AO146" s="304"/>
      <c r="AP146" s="304"/>
      <c r="AQ146" s="304"/>
      <c r="AR146" s="304"/>
      <c r="AS146" s="304"/>
      <c r="AT146" s="304"/>
      <c r="AU146" s="304"/>
      <c r="AV146" s="304"/>
      <c r="AW146" s="304"/>
      <c r="AX146" s="304"/>
      <c r="AY146" s="304"/>
      <c r="AZ146" s="304"/>
      <c r="BA146" s="304"/>
      <c r="BB146" s="304"/>
      <c r="BC146" s="304"/>
      <c r="BD146" s="304"/>
      <c r="BE146" s="304"/>
      <c r="BF146" s="304"/>
      <c r="BG146" s="304"/>
      <c r="BH146" s="304"/>
      <c r="BI146" s="304"/>
      <c r="BJ146" s="304"/>
      <c r="BK146" s="304"/>
      <c r="BL146" s="304"/>
      <c r="BM146" s="304"/>
      <c r="BN146" s="304"/>
      <c r="BO146" s="304"/>
      <c r="BP146" s="304"/>
      <c r="BQ146" s="304"/>
      <c r="BR146" s="304"/>
      <c r="BS146" s="304"/>
      <c r="BT146" s="304"/>
      <c r="BU146" s="304"/>
      <c r="BV146" s="304"/>
      <c r="BW146" s="304"/>
      <c r="BX146" s="304"/>
      <c r="BY146" s="304"/>
      <c r="BZ146" s="304"/>
      <c r="CA146" s="304"/>
      <c r="CB146" s="304"/>
      <c r="CC146" s="304"/>
      <c r="CD146" s="304"/>
      <c r="CE146" s="304"/>
      <c r="CF146" s="304"/>
      <c r="CG146" s="304"/>
      <c r="CH146" s="304"/>
      <c r="CI146" s="304"/>
      <c r="CJ146" s="304"/>
      <c r="CK146" s="304"/>
      <c r="CL146" s="304"/>
      <c r="CM146" s="304"/>
      <c r="CN146" s="304"/>
      <c r="CO146" s="304"/>
      <c r="CP146" s="304"/>
      <c r="CQ146" s="304"/>
      <c r="CR146" s="304"/>
      <c r="CS146" s="304"/>
      <c r="CT146" s="304"/>
      <c r="CU146" s="304"/>
      <c r="CV146" s="304"/>
      <c r="CW146" s="304"/>
      <c r="CX146" s="304"/>
      <c r="CY146" s="304"/>
    </row>
    <row r="147" spans="1:103" s="412" customFormat="1" x14ac:dyDescent="0.2">
      <c r="A147" s="672" t="s">
        <v>3110</v>
      </c>
      <c r="B147" s="672" t="s">
        <v>3225</v>
      </c>
      <c r="C147" s="672" t="s">
        <v>3111</v>
      </c>
      <c r="D147" s="672"/>
      <c r="E147" s="672"/>
      <c r="F147" s="763">
        <v>16690</v>
      </c>
      <c r="G147" s="672"/>
      <c r="H147" s="672"/>
      <c r="I147" s="672">
        <v>5.6</v>
      </c>
      <c r="J147" s="672" t="s">
        <v>2500</v>
      </c>
      <c r="K147" s="672">
        <v>128</v>
      </c>
      <c r="L147" s="672"/>
      <c r="M147" s="672" t="s">
        <v>3140</v>
      </c>
      <c r="N147" s="672">
        <v>5</v>
      </c>
      <c r="O147" s="672">
        <v>70</v>
      </c>
      <c r="P147" s="672"/>
      <c r="Q147" s="672">
        <v>95</v>
      </c>
      <c r="R147" s="672"/>
      <c r="S147" s="672" t="s">
        <v>2762</v>
      </c>
      <c r="T147" s="758">
        <v>4138</v>
      </c>
      <c r="U147" s="758">
        <v>1780</v>
      </c>
      <c r="V147" s="758">
        <v>1552</v>
      </c>
      <c r="W147" s="758">
        <v>1180</v>
      </c>
      <c r="X147" s="672" t="s">
        <v>3111</v>
      </c>
      <c r="Y147" s="672" t="s">
        <v>3717</v>
      </c>
      <c r="Z147" s="672"/>
      <c r="AA147" s="672"/>
      <c r="AB147" s="672" t="s">
        <v>3177</v>
      </c>
      <c r="AC147" s="672" t="s">
        <v>3722</v>
      </c>
      <c r="AD147" s="672"/>
      <c r="AE147"/>
      <c r="AF147"/>
      <c r="AG147"/>
      <c r="AH147"/>
      <c r="AI147" s="304"/>
      <c r="AJ147" s="304"/>
      <c r="AK147" s="304"/>
      <c r="AL147" s="304"/>
      <c r="AM147" s="304"/>
      <c r="AN147" s="304"/>
      <c r="AO147" s="304"/>
      <c r="AP147" s="304"/>
      <c r="AQ147" s="304"/>
      <c r="AR147" s="304"/>
      <c r="AS147" s="304"/>
      <c r="AT147" s="304"/>
      <c r="AU147" s="304"/>
      <c r="AV147" s="304"/>
      <c r="AW147" s="304"/>
      <c r="AX147" s="304"/>
      <c r="AY147" s="304"/>
      <c r="AZ147" s="304"/>
      <c r="BA147" s="304"/>
      <c r="BB147" s="304"/>
      <c r="BC147" s="304"/>
      <c r="BD147" s="304"/>
      <c r="BE147" s="304"/>
      <c r="BF147" s="304"/>
      <c r="BG147" s="304"/>
      <c r="BH147" s="304"/>
      <c r="BI147" s="304"/>
      <c r="BJ147" s="304"/>
      <c r="BK147" s="304"/>
      <c r="BL147" s="304"/>
      <c r="BM147" s="304"/>
      <c r="BN147" s="304"/>
      <c r="BO147" s="304"/>
      <c r="BP147" s="304"/>
      <c r="BQ147" s="304"/>
      <c r="BR147" s="304"/>
      <c r="BS147" s="304"/>
      <c r="BT147" s="304"/>
      <c r="BU147" s="304"/>
      <c r="BV147" s="304"/>
      <c r="BW147" s="304"/>
      <c r="BX147" s="304"/>
      <c r="BY147" s="304"/>
      <c r="BZ147" s="304"/>
      <c r="CA147" s="304"/>
      <c r="CB147" s="304"/>
      <c r="CC147" s="304"/>
      <c r="CD147" s="304"/>
      <c r="CE147" s="304"/>
      <c r="CF147" s="304"/>
      <c r="CG147" s="304"/>
      <c r="CH147" s="304"/>
      <c r="CI147" s="304"/>
      <c r="CJ147" s="304"/>
      <c r="CK147" s="304"/>
      <c r="CL147" s="304"/>
      <c r="CM147" s="304"/>
      <c r="CN147" s="304"/>
      <c r="CO147" s="304"/>
      <c r="CP147" s="304"/>
      <c r="CQ147" s="304"/>
      <c r="CR147" s="304"/>
      <c r="CS147" s="304"/>
      <c r="CT147" s="304"/>
      <c r="CU147" s="304"/>
      <c r="CV147" s="304"/>
      <c r="CW147" s="304"/>
      <c r="CX147" s="304"/>
      <c r="CY147" s="304"/>
    </row>
    <row r="148" spans="1:103" s="412" customFormat="1" x14ac:dyDescent="0.2">
      <c r="A148" s="672" t="s">
        <v>3110</v>
      </c>
      <c r="B148" s="672" t="s">
        <v>3242</v>
      </c>
      <c r="C148" s="672" t="s">
        <v>3111</v>
      </c>
      <c r="D148" s="760"/>
      <c r="E148" s="672"/>
      <c r="F148" s="763">
        <v>16690</v>
      </c>
      <c r="G148" s="672"/>
      <c r="H148" s="672"/>
      <c r="I148" s="672">
        <v>6.5</v>
      </c>
      <c r="J148" s="672" t="s">
        <v>2500</v>
      </c>
      <c r="K148" s="672">
        <v>146</v>
      </c>
      <c r="L148" s="672"/>
      <c r="M148" s="672" t="s">
        <v>3140</v>
      </c>
      <c r="N148" s="672">
        <v>5</v>
      </c>
      <c r="O148" s="672">
        <v>85</v>
      </c>
      <c r="P148" s="672"/>
      <c r="Q148" s="672">
        <v>116</v>
      </c>
      <c r="R148" s="672"/>
      <c r="S148" s="672" t="s">
        <v>2785</v>
      </c>
      <c r="T148" s="758">
        <v>4363</v>
      </c>
      <c r="U148" s="758">
        <v>2078</v>
      </c>
      <c r="V148" s="758">
        <v>1601</v>
      </c>
      <c r="W148" s="758">
        <v>1313</v>
      </c>
      <c r="X148" s="672" t="s">
        <v>2793</v>
      </c>
      <c r="Y148" s="672" t="s">
        <v>3753</v>
      </c>
      <c r="Z148" s="672"/>
      <c r="AA148" s="672"/>
      <c r="AB148" s="672" t="s">
        <v>3254</v>
      </c>
      <c r="AC148" s="672" t="s">
        <v>3255</v>
      </c>
      <c r="AD148" s="672"/>
      <c r="AE148"/>
      <c r="AF148"/>
      <c r="AG148"/>
      <c r="AH148"/>
      <c r="AI148" s="304"/>
      <c r="AJ148" s="304"/>
      <c r="AK148" s="304"/>
      <c r="AL148" s="304"/>
      <c r="AM148" s="304"/>
      <c r="AN148" s="304"/>
      <c r="AO148" s="304"/>
    </row>
    <row r="149" spans="1:103" s="412" customFormat="1" x14ac:dyDescent="0.2">
      <c r="A149" s="672" t="s">
        <v>3110</v>
      </c>
      <c r="B149" s="672" t="s">
        <v>3736</v>
      </c>
      <c r="C149" s="672" t="s">
        <v>2793</v>
      </c>
      <c r="D149" s="672"/>
      <c r="E149" s="672"/>
      <c r="F149" s="763">
        <v>40130</v>
      </c>
      <c r="G149" s="672"/>
      <c r="H149" s="672"/>
      <c r="I149" s="672">
        <v>6.5</v>
      </c>
      <c r="J149" s="672" t="s">
        <v>2500</v>
      </c>
      <c r="K149" s="672">
        <v>150</v>
      </c>
      <c r="L149" s="672"/>
      <c r="M149" s="672" t="s">
        <v>3140</v>
      </c>
      <c r="N149" s="672">
        <v>5</v>
      </c>
      <c r="O149" s="672">
        <v>110</v>
      </c>
      <c r="P149" s="672"/>
      <c r="Q149" s="672">
        <v>150</v>
      </c>
      <c r="R149" s="672"/>
      <c r="S149" s="672" t="s">
        <v>2785</v>
      </c>
      <c r="T149" s="758">
        <v>4854</v>
      </c>
      <c r="U149" s="758">
        <v>2081</v>
      </c>
      <c r="V149" s="758">
        <v>1720</v>
      </c>
      <c r="W149" s="758">
        <v>1695</v>
      </c>
      <c r="X149" s="672"/>
      <c r="Y149" s="672"/>
      <c r="Z149" s="672"/>
      <c r="AA149" s="672"/>
      <c r="AB149" s="672" t="s">
        <v>3762</v>
      </c>
      <c r="AC149" s="672" t="s">
        <v>3763</v>
      </c>
      <c r="AD149" s="672"/>
      <c r="AE149" t="s">
        <v>3079</v>
      </c>
      <c r="AF149" t="s">
        <v>3080</v>
      </c>
      <c r="AG149" t="s">
        <v>3113</v>
      </c>
      <c r="AH149" t="s">
        <v>2781</v>
      </c>
      <c r="AI149" s="304"/>
      <c r="AJ149" s="304"/>
      <c r="AK149" s="304"/>
      <c r="AL149" s="304"/>
      <c r="AM149" s="304"/>
      <c r="AN149" s="304"/>
      <c r="AO149" s="304"/>
    </row>
    <row r="150" spans="1:103" s="412" customFormat="1" x14ac:dyDescent="0.2">
      <c r="A150" s="672" t="s">
        <v>3110</v>
      </c>
      <c r="B150" s="672" t="s">
        <v>3225</v>
      </c>
      <c r="C150" s="672" t="s">
        <v>2821</v>
      </c>
      <c r="D150" s="672"/>
      <c r="E150" s="672"/>
      <c r="F150" s="763">
        <v>19990</v>
      </c>
      <c r="G150" s="672"/>
      <c r="H150" s="672"/>
      <c r="I150" s="672">
        <v>4.8</v>
      </c>
      <c r="J150" s="672" t="s">
        <v>2500</v>
      </c>
      <c r="K150" s="672">
        <v>125</v>
      </c>
      <c r="L150" s="672"/>
      <c r="M150" s="672" t="s">
        <v>3140</v>
      </c>
      <c r="N150" s="672">
        <v>5</v>
      </c>
      <c r="O150" s="672">
        <v>70</v>
      </c>
      <c r="P150" s="672"/>
      <c r="Q150" s="672">
        <v>95</v>
      </c>
      <c r="R150" s="672"/>
      <c r="S150" s="672" t="s">
        <v>2762</v>
      </c>
      <c r="T150" s="758">
        <v>4138</v>
      </c>
      <c r="U150" s="758">
        <v>1942</v>
      </c>
      <c r="V150" s="758">
        <v>1543</v>
      </c>
      <c r="W150" s="758">
        <v>1297</v>
      </c>
      <c r="X150" s="672"/>
      <c r="Y150" s="672"/>
      <c r="Z150" s="672"/>
      <c r="AA150" s="672"/>
      <c r="AB150" s="672" t="s">
        <v>3254</v>
      </c>
      <c r="AC150" s="672" t="s">
        <v>3255</v>
      </c>
      <c r="AD150" s="672"/>
      <c r="AE150" t="s">
        <v>3114</v>
      </c>
      <c r="AF150"/>
      <c r="AG150"/>
      <c r="AH150"/>
      <c r="AI150" s="304"/>
      <c r="AJ150" s="304"/>
      <c r="AK150" s="304"/>
      <c r="AL150" s="304"/>
      <c r="AM150" s="304"/>
      <c r="AN150" s="304"/>
      <c r="AO150" s="304"/>
    </row>
    <row r="151" spans="1:103" s="412" customFormat="1" x14ac:dyDescent="0.2">
      <c r="A151" s="672" t="s">
        <v>3110</v>
      </c>
      <c r="B151" s="672" t="s">
        <v>3242</v>
      </c>
      <c r="C151" s="672" t="s">
        <v>2821</v>
      </c>
      <c r="D151" s="672"/>
      <c r="E151" s="672"/>
      <c r="F151" s="763">
        <v>25880</v>
      </c>
      <c r="G151" s="672"/>
      <c r="H151" s="672"/>
      <c r="I151" s="672">
        <v>5</v>
      </c>
      <c r="J151" s="672" t="s">
        <v>2500</v>
      </c>
      <c r="K151" s="672">
        <v>139</v>
      </c>
      <c r="L151" s="672"/>
      <c r="M151" s="672" t="s">
        <v>3140</v>
      </c>
      <c r="N151" s="672">
        <v>5</v>
      </c>
      <c r="O151" s="672">
        <v>85</v>
      </c>
      <c r="P151" s="672"/>
      <c r="Q151" s="672">
        <v>116</v>
      </c>
      <c r="R151" s="672"/>
      <c r="S151" s="672" t="s">
        <v>2785</v>
      </c>
      <c r="T151" s="758">
        <v>4363</v>
      </c>
      <c r="U151" s="758">
        <v>2078</v>
      </c>
      <c r="V151" s="758">
        <v>1601</v>
      </c>
      <c r="W151" s="758">
        <v>1428</v>
      </c>
      <c r="X151" s="672" t="s">
        <v>2831</v>
      </c>
      <c r="Y151" s="672" t="s">
        <v>3883</v>
      </c>
      <c r="Z151" s="672"/>
      <c r="AA151" s="672"/>
      <c r="AB151" s="672" t="s">
        <v>3254</v>
      </c>
      <c r="AC151" s="672" t="s">
        <v>3255</v>
      </c>
      <c r="AD151" s="672"/>
      <c r="AE151"/>
      <c r="AF151"/>
      <c r="AG151" t="s">
        <v>3115</v>
      </c>
      <c r="AH151" t="s">
        <v>3116</v>
      </c>
      <c r="AI151" s="304"/>
      <c r="AJ151" s="304"/>
      <c r="AK151" s="304"/>
      <c r="AL151" s="304"/>
      <c r="AM151" s="304"/>
      <c r="AN151" s="304"/>
      <c r="AO151" s="304"/>
    </row>
    <row r="152" spans="1:103" s="412" customFormat="1" x14ac:dyDescent="0.2">
      <c r="A152" s="672" t="s">
        <v>3110</v>
      </c>
      <c r="B152" s="672" t="s">
        <v>3225</v>
      </c>
      <c r="C152" s="672" t="s">
        <v>2821</v>
      </c>
      <c r="D152" s="672"/>
      <c r="E152" s="672"/>
      <c r="F152" s="763">
        <v>19990</v>
      </c>
      <c r="G152" s="672"/>
      <c r="H152" s="672"/>
      <c r="I152" s="672">
        <v>4.8</v>
      </c>
      <c r="J152" s="672" t="s">
        <v>2823</v>
      </c>
      <c r="K152" s="672">
        <v>125</v>
      </c>
      <c r="L152" s="672"/>
      <c r="M152" s="672" t="s">
        <v>3140</v>
      </c>
      <c r="N152" s="672">
        <v>5</v>
      </c>
      <c r="O152" s="672">
        <v>70</v>
      </c>
      <c r="P152" s="672"/>
      <c r="Q152" s="672">
        <v>95</v>
      </c>
      <c r="R152" s="672"/>
      <c r="S152" s="672" t="s">
        <v>2762</v>
      </c>
      <c r="T152" s="672" t="s">
        <v>4058</v>
      </c>
      <c r="U152" s="758" t="s">
        <v>4069</v>
      </c>
      <c r="V152" s="758" t="s">
        <v>4080</v>
      </c>
      <c r="W152" s="672" t="s">
        <v>4091</v>
      </c>
      <c r="X152" s="672"/>
      <c r="Y152" s="672"/>
      <c r="Z152" s="672"/>
      <c r="AA152" s="672"/>
      <c r="AB152" s="672" t="s">
        <v>3254</v>
      </c>
      <c r="AC152" s="672" t="s">
        <v>3255</v>
      </c>
      <c r="AD152" s="672"/>
      <c r="AE152" t="s">
        <v>3105</v>
      </c>
      <c r="AF152" t="s">
        <v>2781</v>
      </c>
      <c r="AG152"/>
      <c r="AH152"/>
      <c r="AI152" s="304"/>
      <c r="AJ152" s="304"/>
      <c r="AK152" s="304"/>
      <c r="AL152" s="304"/>
      <c r="AM152" s="304"/>
      <c r="AN152" s="304"/>
      <c r="AO152" s="304"/>
    </row>
    <row r="153" spans="1:103" s="412" customFormat="1" x14ac:dyDescent="0.2">
      <c r="A153" s="758" t="s">
        <v>2991</v>
      </c>
      <c r="B153" s="758" t="s">
        <v>2901</v>
      </c>
      <c r="C153" s="758" t="s">
        <v>2915</v>
      </c>
      <c r="D153" s="758"/>
      <c r="E153" s="758"/>
      <c r="F153" s="763">
        <v>13240</v>
      </c>
      <c r="G153" s="758"/>
      <c r="H153" s="758"/>
      <c r="I153" s="758">
        <v>5.4</v>
      </c>
      <c r="J153" s="672" t="s">
        <v>2500</v>
      </c>
      <c r="K153" s="758">
        <v>123</v>
      </c>
      <c r="L153" s="758"/>
      <c r="M153" s="758" t="s">
        <v>3573</v>
      </c>
      <c r="N153" s="758">
        <v>5</v>
      </c>
      <c r="O153" s="758">
        <v>70</v>
      </c>
      <c r="P153" s="758"/>
      <c r="Q153" s="758">
        <v>95</v>
      </c>
      <c r="R153" s="758"/>
      <c r="S153" s="758" t="s">
        <v>2762</v>
      </c>
      <c r="T153" s="758">
        <v>3997</v>
      </c>
      <c r="U153" s="758">
        <v>1958</v>
      </c>
      <c r="V153" s="758">
        <v>1467</v>
      </c>
      <c r="W153" s="758">
        <v>1116</v>
      </c>
      <c r="X153" s="758" t="s">
        <v>2753</v>
      </c>
      <c r="Y153" s="758" t="s">
        <v>3580</v>
      </c>
      <c r="Z153" s="758"/>
      <c r="AA153" s="758" t="s">
        <v>2788</v>
      </c>
      <c r="AB153" s="758" t="s">
        <v>3155</v>
      </c>
      <c r="AC153" s="758"/>
      <c r="AD153" s="758" t="s">
        <v>3079</v>
      </c>
      <c r="AE153" t="s">
        <v>3105</v>
      </c>
      <c r="AF153" t="s">
        <v>2781</v>
      </c>
      <c r="AG153"/>
      <c r="AH153"/>
      <c r="AI153" s="304"/>
      <c r="AJ153" s="304"/>
      <c r="AK153" s="304"/>
      <c r="AL153" s="304"/>
      <c r="AM153" s="304"/>
      <c r="AN153" s="304"/>
      <c r="AO153" s="304"/>
      <c r="AP153" s="304"/>
      <c r="AQ153" s="304"/>
      <c r="AR153" s="304"/>
      <c r="AS153" s="304"/>
      <c r="AT153" s="304"/>
      <c r="AU153" s="304"/>
      <c r="AV153" s="304"/>
      <c r="AW153" s="304"/>
      <c r="AX153" s="304"/>
      <c r="AY153" s="304"/>
      <c r="AZ153" s="304"/>
      <c r="BA153" s="304"/>
      <c r="BB153" s="304"/>
      <c r="BC153" s="304"/>
      <c r="BD153" s="304"/>
      <c r="BE153" s="304"/>
      <c r="BF153" s="304"/>
      <c r="BG153" s="304"/>
      <c r="BH153" s="304"/>
      <c r="BI153" s="304"/>
      <c r="BJ153" s="304"/>
      <c r="BK153" s="304"/>
      <c r="BL153" s="304"/>
      <c r="BM153" s="304"/>
      <c r="BN153" s="304"/>
      <c r="BO153" s="304"/>
      <c r="BP153" s="304"/>
      <c r="BQ153" s="304"/>
      <c r="BR153" s="304"/>
      <c r="BS153" s="304"/>
      <c r="BT153" s="304"/>
      <c r="BU153" s="304"/>
      <c r="BV153" s="304"/>
      <c r="BW153" s="304"/>
      <c r="BX153" s="304"/>
      <c r="BY153" s="304"/>
      <c r="BZ153" s="304"/>
      <c r="CA153" s="304"/>
      <c r="CB153" s="304"/>
      <c r="CC153" s="304"/>
      <c r="CD153" s="304"/>
      <c r="CE153" s="304"/>
      <c r="CF153" s="304"/>
      <c r="CG153" s="304"/>
      <c r="CH153" s="304"/>
      <c r="CI153" s="304"/>
      <c r="CJ153" s="304"/>
      <c r="CK153" s="304"/>
      <c r="CL153" s="304"/>
      <c r="CM153" s="304"/>
      <c r="CN153" s="304"/>
      <c r="CO153" s="304"/>
      <c r="CP153" s="304"/>
      <c r="CQ153" s="304"/>
      <c r="CR153" s="304"/>
      <c r="CS153" s="304"/>
      <c r="CT153" s="304"/>
      <c r="CU153" s="304"/>
      <c r="CV153" s="304"/>
      <c r="CW153" s="304"/>
      <c r="CX153" s="304"/>
      <c r="CY153" s="304"/>
    </row>
    <row r="154" spans="1:103" s="412" customFormat="1" x14ac:dyDescent="0.2">
      <c r="A154" s="672" t="s">
        <v>2991</v>
      </c>
      <c r="B154" s="672" t="s">
        <v>2932</v>
      </c>
      <c r="C154" s="672" t="s">
        <v>2915</v>
      </c>
      <c r="D154" s="672"/>
      <c r="E154" s="672"/>
      <c r="F154" s="763">
        <v>13590</v>
      </c>
      <c r="G154" s="672"/>
      <c r="H154" s="672"/>
      <c r="I154" s="672">
        <v>5.3</v>
      </c>
      <c r="J154" s="759" t="s">
        <v>2500</v>
      </c>
      <c r="K154" s="672">
        <v>119</v>
      </c>
      <c r="L154" s="672"/>
      <c r="M154" s="672" t="s">
        <v>3573</v>
      </c>
      <c r="N154" s="672">
        <v>5</v>
      </c>
      <c r="O154" s="672">
        <v>70</v>
      </c>
      <c r="P154" s="672"/>
      <c r="Q154" s="672">
        <v>95</v>
      </c>
      <c r="R154" s="672"/>
      <c r="S154" s="672" t="s">
        <v>2762</v>
      </c>
      <c r="T154" s="758">
        <v>4262</v>
      </c>
      <c r="U154" s="758">
        <v>1958</v>
      </c>
      <c r="V154" s="758">
        <v>1488</v>
      </c>
      <c r="W154" s="758">
        <v>1136</v>
      </c>
      <c r="X154" s="672"/>
      <c r="Y154" s="672"/>
      <c r="Z154" s="672"/>
      <c r="AA154" s="672"/>
      <c r="AB154" s="672"/>
      <c r="AC154" s="672"/>
      <c r="AD154" s="672" t="s">
        <v>3173</v>
      </c>
      <c r="AE154"/>
      <c r="AF154"/>
      <c r="AG154"/>
      <c r="AH154"/>
      <c r="AI154" s="304"/>
      <c r="AJ154" s="304"/>
      <c r="AK154" s="304"/>
      <c r="AL154" s="304"/>
      <c r="AM154" s="304"/>
      <c r="AN154" s="304"/>
      <c r="AO154" s="304"/>
      <c r="AP154" s="304"/>
      <c r="AQ154" s="304"/>
      <c r="AR154" s="304"/>
      <c r="AS154" s="304"/>
      <c r="AT154" s="304"/>
      <c r="AU154" s="304"/>
      <c r="AV154" s="304"/>
      <c r="AW154" s="304"/>
      <c r="AX154" s="304"/>
      <c r="AY154" s="304"/>
      <c r="AZ154" s="304"/>
      <c r="BA154" s="304"/>
      <c r="BB154" s="304"/>
      <c r="BC154" s="304"/>
      <c r="BD154" s="304"/>
      <c r="BE154" s="304"/>
      <c r="BF154" s="304"/>
      <c r="BG154" s="304"/>
      <c r="BH154" s="304"/>
      <c r="BI154" s="304"/>
      <c r="BJ154" s="304"/>
      <c r="BK154" s="304"/>
      <c r="BL154" s="304"/>
      <c r="BM154" s="304"/>
      <c r="BN154" s="304"/>
      <c r="BO154" s="304"/>
      <c r="BP154" s="304"/>
      <c r="BQ154" s="304"/>
      <c r="BR154" s="304"/>
      <c r="BS154" s="304"/>
      <c r="BT154" s="304"/>
      <c r="BU154" s="304"/>
      <c r="BV154" s="304"/>
      <c r="BW154" s="304"/>
      <c r="BX154" s="304"/>
      <c r="BY154" s="304"/>
      <c r="BZ154" s="304"/>
      <c r="CA154" s="304"/>
      <c r="CB154" s="304"/>
      <c r="CC154" s="304"/>
      <c r="CD154" s="304"/>
      <c r="CE154" s="304"/>
      <c r="CF154" s="304"/>
      <c r="CG154" s="304"/>
      <c r="CH154" s="304"/>
      <c r="CI154" s="304"/>
      <c r="CJ154" s="304"/>
      <c r="CK154" s="304"/>
      <c r="CL154" s="304"/>
      <c r="CM154" s="304"/>
      <c r="CN154" s="304"/>
      <c r="CO154" s="304"/>
      <c r="CP154" s="304"/>
      <c r="CQ154" s="304"/>
      <c r="CR154" s="304"/>
      <c r="CS154" s="304"/>
      <c r="CT154" s="304"/>
      <c r="CU154" s="304"/>
      <c r="CV154" s="304"/>
      <c r="CW154" s="304"/>
      <c r="CX154" s="304"/>
      <c r="CY154" s="304"/>
    </row>
    <row r="155" spans="1:103" s="412" customFormat="1" x14ac:dyDescent="0.2">
      <c r="A155" s="672" t="s">
        <v>2991</v>
      </c>
      <c r="B155" s="672" t="s">
        <v>3609</v>
      </c>
      <c r="C155" s="672" t="s">
        <v>2915</v>
      </c>
      <c r="D155" s="672"/>
      <c r="E155" s="672"/>
      <c r="F155" s="763">
        <v>18980</v>
      </c>
      <c r="G155" s="672"/>
      <c r="H155" s="672"/>
      <c r="I155" s="672">
        <v>5.5</v>
      </c>
      <c r="J155" s="759" t="s">
        <v>2500</v>
      </c>
      <c r="K155" s="672">
        <v>126</v>
      </c>
      <c r="L155" s="672"/>
      <c r="M155" s="672" t="s">
        <v>3573</v>
      </c>
      <c r="N155" s="672">
        <v>5</v>
      </c>
      <c r="O155" s="672">
        <v>70</v>
      </c>
      <c r="P155" s="672"/>
      <c r="Q155" s="672">
        <v>95</v>
      </c>
      <c r="R155" s="672"/>
      <c r="S155" s="672" t="s">
        <v>2762</v>
      </c>
      <c r="T155" s="758">
        <v>4362</v>
      </c>
      <c r="U155" s="758">
        <v>1988</v>
      </c>
      <c r="V155" s="758">
        <v>1471</v>
      </c>
      <c r="W155" s="758">
        <v>1192</v>
      </c>
      <c r="X155" s="672" t="s">
        <v>2915</v>
      </c>
      <c r="Y155" s="672" t="s">
        <v>3649</v>
      </c>
      <c r="Z155" s="672" t="s">
        <v>3172</v>
      </c>
      <c r="AA155" s="672" t="s">
        <v>3650</v>
      </c>
      <c r="AB155" s="672"/>
      <c r="AC155" s="672"/>
      <c r="AD155" s="672" t="s">
        <v>3173</v>
      </c>
      <c r="AE155" t="s">
        <v>3117</v>
      </c>
      <c r="AF155"/>
      <c r="AG155"/>
      <c r="AH155"/>
      <c r="AI155" s="304"/>
      <c r="AJ155" s="304"/>
      <c r="AK155" s="304"/>
      <c r="AL155" s="304"/>
      <c r="AM155" s="304"/>
      <c r="AN155" s="304"/>
      <c r="AO155" s="304"/>
    </row>
    <row r="156" spans="1:103" s="412" customFormat="1" x14ac:dyDescent="0.2">
      <c r="A156" s="758" t="s">
        <v>2991</v>
      </c>
      <c r="B156" s="758" t="s">
        <v>3673</v>
      </c>
      <c r="C156" s="758" t="s">
        <v>2915</v>
      </c>
      <c r="D156" s="758"/>
      <c r="E156" s="758"/>
      <c r="F156" s="763">
        <v>26880</v>
      </c>
      <c r="G156" s="758"/>
      <c r="H156" s="758"/>
      <c r="I156" s="758">
        <v>5.3</v>
      </c>
      <c r="J156" s="672" t="s">
        <v>2500</v>
      </c>
      <c r="K156" s="758">
        <v>120</v>
      </c>
      <c r="L156" s="758"/>
      <c r="M156" s="758" t="s">
        <v>3573</v>
      </c>
      <c r="N156" s="758">
        <v>5</v>
      </c>
      <c r="O156" s="758">
        <v>84</v>
      </c>
      <c r="P156" s="758"/>
      <c r="Q156" s="758">
        <v>115</v>
      </c>
      <c r="R156" s="758"/>
      <c r="S156" s="758" t="s">
        <v>2785</v>
      </c>
      <c r="T156" s="758">
        <v>4689</v>
      </c>
      <c r="U156" s="758">
        <v>1994</v>
      </c>
      <c r="V156" s="758">
        <v>1468</v>
      </c>
      <c r="W156" s="758">
        <v>1285</v>
      </c>
      <c r="X156" s="758" t="s">
        <v>3172</v>
      </c>
      <c r="Y156" s="758" t="s">
        <v>3684</v>
      </c>
      <c r="Z156" s="758"/>
      <c r="AA156" s="758"/>
      <c r="AB156" s="758"/>
      <c r="AC156" s="758"/>
      <c r="AD156" s="758" t="s">
        <v>3702</v>
      </c>
      <c r="AE156"/>
      <c r="AF156"/>
      <c r="AG156"/>
      <c r="AH156"/>
      <c r="AI156" s="304"/>
      <c r="AJ156" s="304"/>
      <c r="AK156" s="304"/>
      <c r="AL156" s="304"/>
      <c r="AM156" s="304"/>
      <c r="AN156" s="304"/>
      <c r="AO156" s="304"/>
    </row>
    <row r="157" spans="1:103" s="412" customFormat="1" x14ac:dyDescent="0.2">
      <c r="A157" s="672" t="s">
        <v>2991</v>
      </c>
      <c r="B157" s="672" t="s">
        <v>3678</v>
      </c>
      <c r="C157" s="672" t="s">
        <v>3172</v>
      </c>
      <c r="D157" s="672"/>
      <c r="E157" s="672"/>
      <c r="F157" s="763">
        <v>33840</v>
      </c>
      <c r="G157" s="672"/>
      <c r="H157" s="672"/>
      <c r="I157" s="672">
        <v>6.2</v>
      </c>
      <c r="J157" s="759" t="s">
        <v>2500</v>
      </c>
      <c r="K157" s="672">
        <v>141</v>
      </c>
      <c r="L157" s="672"/>
      <c r="M157" s="672" t="s">
        <v>3573</v>
      </c>
      <c r="N157" s="672">
        <v>5</v>
      </c>
      <c r="O157" s="672">
        <v>110</v>
      </c>
      <c r="P157" s="672"/>
      <c r="Q157" s="672">
        <v>150</v>
      </c>
      <c r="R157" s="672"/>
      <c r="S157" s="672" t="s">
        <v>2785</v>
      </c>
      <c r="T157" s="758">
        <v>4861</v>
      </c>
      <c r="U157" s="758">
        <v>1864</v>
      </c>
      <c r="V157" s="758">
        <v>1458</v>
      </c>
      <c r="W157" s="758">
        <v>1435</v>
      </c>
      <c r="X157" s="672"/>
      <c r="Y157" s="672"/>
      <c r="Z157" s="672"/>
      <c r="AA157" s="672"/>
      <c r="AB157" s="672"/>
      <c r="AC157" s="672"/>
      <c r="AD157" s="672" t="s">
        <v>2788</v>
      </c>
      <c r="AE157"/>
      <c r="AF157"/>
      <c r="AG157"/>
      <c r="AH157"/>
      <c r="AI157" s="304"/>
      <c r="AJ157" s="304"/>
      <c r="AK157" s="304"/>
      <c r="AL157" s="304"/>
      <c r="AM157" s="304"/>
      <c r="AN157" s="304"/>
      <c r="AO157" s="304"/>
    </row>
    <row r="158" spans="1:103" s="412" customFormat="1" x14ac:dyDescent="0.2">
      <c r="A158" s="672" t="s">
        <v>2991</v>
      </c>
      <c r="B158" s="672" t="s">
        <v>3733</v>
      </c>
      <c r="C158" s="672" t="s">
        <v>2915</v>
      </c>
      <c r="D158" s="672"/>
      <c r="E158" s="672"/>
      <c r="F158" s="763">
        <v>23980</v>
      </c>
      <c r="G158" s="672"/>
      <c r="H158" s="672"/>
      <c r="I158" s="672">
        <v>6.3</v>
      </c>
      <c r="J158" s="759" t="s">
        <v>2500</v>
      </c>
      <c r="K158" s="672">
        <v>142</v>
      </c>
      <c r="L158" s="672"/>
      <c r="M158" s="672" t="s">
        <v>3573</v>
      </c>
      <c r="N158" s="672">
        <v>5</v>
      </c>
      <c r="O158" s="672">
        <v>85</v>
      </c>
      <c r="P158" s="672"/>
      <c r="Q158" s="672">
        <v>116</v>
      </c>
      <c r="R158" s="672"/>
      <c r="S158" s="672" t="s">
        <v>2785</v>
      </c>
      <c r="T158" s="758">
        <v>4382</v>
      </c>
      <c r="U158" s="758">
        <v>2025</v>
      </c>
      <c r="V158" s="758">
        <v>1603</v>
      </c>
      <c r="W158" s="758">
        <v>1344</v>
      </c>
      <c r="X158" s="672" t="s">
        <v>3172</v>
      </c>
      <c r="Y158" s="672" t="s">
        <v>3746</v>
      </c>
      <c r="Z158" s="672"/>
      <c r="AA158" s="672"/>
      <c r="AB158" s="672" t="s">
        <v>3758</v>
      </c>
      <c r="AC158" s="672" t="s">
        <v>2950</v>
      </c>
      <c r="AD158" s="672"/>
      <c r="AE158"/>
      <c r="AF158"/>
      <c r="AG158"/>
      <c r="AH158"/>
      <c r="AI158" s="304"/>
      <c r="AJ158" s="304"/>
      <c r="AK158" s="304"/>
      <c r="AL158" s="304"/>
      <c r="AM158" s="304"/>
      <c r="AN158" s="304"/>
      <c r="AO158" s="304"/>
    </row>
    <row r="159" spans="1:103" s="412" customFormat="1" x14ac:dyDescent="0.2">
      <c r="A159" s="758" t="s">
        <v>2991</v>
      </c>
      <c r="B159" s="758" t="s">
        <v>3673</v>
      </c>
      <c r="C159" s="758" t="s">
        <v>3806</v>
      </c>
      <c r="D159" s="672"/>
      <c r="E159" s="758"/>
      <c r="F159" s="763">
        <v>29970</v>
      </c>
      <c r="G159" s="672"/>
      <c r="H159" s="672"/>
      <c r="I159" s="672">
        <v>4.4000000000000004</v>
      </c>
      <c r="J159" s="759" t="s">
        <v>2500</v>
      </c>
      <c r="K159" s="672">
        <v>117</v>
      </c>
      <c r="L159" s="672"/>
      <c r="M159" s="672" t="s">
        <v>3573</v>
      </c>
      <c r="N159" s="672">
        <v>5</v>
      </c>
      <c r="O159" s="672">
        <v>85</v>
      </c>
      <c r="P159" s="672"/>
      <c r="Q159" s="672">
        <v>116</v>
      </c>
      <c r="R159" s="672"/>
      <c r="S159" s="672" t="s">
        <v>2785</v>
      </c>
      <c r="T159" s="758">
        <v>4689</v>
      </c>
      <c r="U159" s="758">
        <v>1994</v>
      </c>
      <c r="V159" s="758">
        <v>1468</v>
      </c>
      <c r="W159" s="758">
        <v>1370</v>
      </c>
      <c r="X159" s="672" t="s">
        <v>2831</v>
      </c>
      <c r="Y159" s="672" t="s">
        <v>3812</v>
      </c>
      <c r="Z159" s="672"/>
      <c r="AA159" s="672"/>
      <c r="AB159" s="672" t="s">
        <v>3702</v>
      </c>
      <c r="AC159" s="672"/>
      <c r="AD159" s="672"/>
      <c r="AE159" t="s">
        <v>3072</v>
      </c>
      <c r="AF159" t="s">
        <v>3073</v>
      </c>
      <c r="AG159"/>
      <c r="AH159"/>
      <c r="AI159" s="304"/>
      <c r="AJ159" s="304"/>
      <c r="AK159" s="304"/>
      <c r="AL159" s="304"/>
      <c r="AM159" s="304"/>
      <c r="AN159" s="304"/>
      <c r="AO159" s="304"/>
    </row>
    <row r="160" spans="1:103" s="412" customFormat="1" x14ac:dyDescent="0.2">
      <c r="A160" s="672" t="s">
        <v>2991</v>
      </c>
      <c r="B160" s="672" t="s">
        <v>3848</v>
      </c>
      <c r="C160" s="672" t="s">
        <v>3852</v>
      </c>
      <c r="D160" s="672"/>
      <c r="E160" s="672"/>
      <c r="F160" s="763">
        <v>24050</v>
      </c>
      <c r="G160" s="672"/>
      <c r="H160" s="672"/>
      <c r="I160" s="672">
        <v>5</v>
      </c>
      <c r="J160" s="672" t="s">
        <v>2500</v>
      </c>
      <c r="K160" s="672">
        <v>131</v>
      </c>
      <c r="L160" s="672"/>
      <c r="M160" s="672" t="s">
        <v>3573</v>
      </c>
      <c r="N160" s="672">
        <v>5</v>
      </c>
      <c r="O160" s="672">
        <v>85</v>
      </c>
      <c r="P160" s="672"/>
      <c r="Q160" s="672">
        <v>115</v>
      </c>
      <c r="R160" s="672"/>
      <c r="S160" s="672" t="s">
        <v>2785</v>
      </c>
      <c r="T160" s="758">
        <v>4241</v>
      </c>
      <c r="U160" s="758">
        <v>1988</v>
      </c>
      <c r="V160" s="758">
        <v>1553</v>
      </c>
      <c r="W160" s="758">
        <v>1336</v>
      </c>
      <c r="X160" s="672"/>
      <c r="Y160" s="672"/>
      <c r="Z160" s="672"/>
      <c r="AA160" s="672"/>
      <c r="AB160" s="672" t="s">
        <v>2794</v>
      </c>
      <c r="AC160" s="672" t="s">
        <v>3155</v>
      </c>
      <c r="AD160" s="672"/>
      <c r="AE160"/>
      <c r="AF160"/>
      <c r="AG160"/>
      <c r="AH160"/>
      <c r="AI160" s="304"/>
      <c r="AJ160" s="304"/>
      <c r="AK160" s="304"/>
      <c r="AL160" s="304"/>
      <c r="AM160" s="304"/>
      <c r="AN160" s="304"/>
      <c r="AO160" s="304"/>
      <c r="AP160" s="304"/>
      <c r="AQ160" s="304"/>
      <c r="AR160" s="304"/>
      <c r="AS160" s="304"/>
      <c r="AT160" s="304"/>
      <c r="AU160" s="304"/>
      <c r="AV160" s="304"/>
      <c r="AW160" s="304"/>
      <c r="AX160" s="304"/>
      <c r="AY160" s="304"/>
      <c r="AZ160" s="304"/>
      <c r="BA160" s="304"/>
      <c r="BB160" s="304"/>
      <c r="BC160" s="304"/>
      <c r="BD160" s="304"/>
      <c r="BE160" s="304"/>
      <c r="BF160" s="304"/>
      <c r="BG160" s="304"/>
      <c r="BH160" s="304"/>
      <c r="BI160" s="304"/>
      <c r="BJ160" s="304"/>
      <c r="BK160" s="304"/>
      <c r="BL160" s="304"/>
      <c r="BM160" s="304"/>
      <c r="BN160" s="304"/>
      <c r="BO160" s="304"/>
      <c r="BP160" s="304"/>
      <c r="BQ160" s="304"/>
      <c r="BR160" s="304"/>
      <c r="BS160" s="304"/>
      <c r="BT160" s="304"/>
      <c r="BU160" s="304"/>
      <c r="BV160" s="304"/>
      <c r="BW160" s="304"/>
      <c r="BX160" s="304"/>
      <c r="BY160" s="304"/>
      <c r="BZ160" s="304"/>
      <c r="CA160" s="304"/>
      <c r="CB160" s="304"/>
      <c r="CC160" s="304"/>
      <c r="CD160" s="304"/>
      <c r="CE160" s="304"/>
      <c r="CF160" s="304"/>
      <c r="CG160" s="304"/>
      <c r="CH160" s="304"/>
      <c r="CI160" s="304"/>
      <c r="CJ160" s="304"/>
      <c r="CK160" s="304"/>
      <c r="CL160" s="304"/>
      <c r="CM160" s="304"/>
      <c r="CN160" s="304"/>
      <c r="CO160" s="304"/>
      <c r="CP160" s="304"/>
      <c r="CQ160" s="304"/>
      <c r="CR160" s="304"/>
      <c r="CS160" s="304"/>
      <c r="CT160" s="304"/>
      <c r="CU160" s="304"/>
      <c r="CV160" s="304"/>
      <c r="CW160" s="304"/>
      <c r="CX160" s="304"/>
      <c r="CY160" s="304"/>
    </row>
    <row r="161" spans="1:103" s="412" customFormat="1" x14ac:dyDescent="0.2">
      <c r="A161" s="672" t="s">
        <v>2991</v>
      </c>
      <c r="B161" s="672" t="s">
        <v>3673</v>
      </c>
      <c r="C161" s="672" t="s">
        <v>3806</v>
      </c>
      <c r="D161" s="672"/>
      <c r="E161" s="672"/>
      <c r="F161" s="763">
        <v>29970</v>
      </c>
      <c r="G161" s="672"/>
      <c r="H161" s="672"/>
      <c r="I161" s="672">
        <v>4.4000000000000004</v>
      </c>
      <c r="J161" s="672" t="s">
        <v>2823</v>
      </c>
      <c r="K161" s="672">
        <v>117</v>
      </c>
      <c r="L161" s="672"/>
      <c r="M161" s="672" t="s">
        <v>3573</v>
      </c>
      <c r="N161" s="672">
        <v>5</v>
      </c>
      <c r="O161" s="672">
        <v>85</v>
      </c>
      <c r="P161" s="672"/>
      <c r="Q161" s="672">
        <v>116</v>
      </c>
      <c r="R161" s="672"/>
      <c r="S161" s="672" t="s">
        <v>2785</v>
      </c>
      <c r="T161" s="672" t="s">
        <v>3990</v>
      </c>
      <c r="U161" s="758" t="s">
        <v>3933</v>
      </c>
      <c r="V161" s="758" t="s">
        <v>4016</v>
      </c>
      <c r="W161" s="672" t="s">
        <v>4030</v>
      </c>
      <c r="X161" s="672" t="s">
        <v>2831</v>
      </c>
      <c r="Y161" s="672" t="s">
        <v>3812</v>
      </c>
      <c r="Z161" s="672"/>
      <c r="AA161" s="672"/>
      <c r="AB161" s="672" t="s">
        <v>3702</v>
      </c>
      <c r="AC161" s="672"/>
      <c r="AD161" s="672"/>
      <c r="AE161"/>
      <c r="AF161"/>
      <c r="AG161"/>
      <c r="AH161"/>
      <c r="AI161" s="304"/>
      <c r="AJ161" s="304"/>
      <c r="AK161" s="304"/>
      <c r="AL161" s="304"/>
      <c r="AM161" s="304"/>
      <c r="AN161" s="304"/>
      <c r="AO161" s="304"/>
    </row>
    <row r="162" spans="1:103" s="412" customFormat="1" x14ac:dyDescent="0.2">
      <c r="A162" s="672" t="s">
        <v>2991</v>
      </c>
      <c r="B162" s="672" t="s">
        <v>3848</v>
      </c>
      <c r="C162" s="672" t="s">
        <v>4041</v>
      </c>
      <c r="D162" s="672"/>
      <c r="E162" s="672"/>
      <c r="F162" s="763">
        <v>24050</v>
      </c>
      <c r="G162" s="672"/>
      <c r="H162" s="672"/>
      <c r="I162" s="672">
        <v>5</v>
      </c>
      <c r="J162" s="672" t="s">
        <v>2823</v>
      </c>
      <c r="K162" s="672">
        <v>131</v>
      </c>
      <c r="L162" s="672"/>
      <c r="M162" s="672" t="s">
        <v>3573</v>
      </c>
      <c r="N162" s="672">
        <v>5</v>
      </c>
      <c r="O162" s="672">
        <v>85</v>
      </c>
      <c r="P162" s="672"/>
      <c r="Q162" s="672">
        <v>115</v>
      </c>
      <c r="R162" s="672"/>
      <c r="S162" s="672" t="s">
        <v>2785</v>
      </c>
      <c r="T162" s="672" t="s">
        <v>4063</v>
      </c>
      <c r="U162" s="672" t="s">
        <v>3929</v>
      </c>
      <c r="V162" s="672" t="s">
        <v>4085</v>
      </c>
      <c r="W162" s="672" t="s">
        <v>4095</v>
      </c>
      <c r="X162" s="672"/>
      <c r="Y162" s="672"/>
      <c r="Z162" s="672"/>
      <c r="AA162" s="672"/>
      <c r="AB162" s="672" t="s">
        <v>2794</v>
      </c>
      <c r="AC162" s="672" t="s">
        <v>3155</v>
      </c>
      <c r="AD162" s="672"/>
      <c r="AE162"/>
      <c r="AF162"/>
      <c r="AG162"/>
      <c r="AH162"/>
      <c r="AI162" s="304"/>
      <c r="AJ162" s="304"/>
      <c r="AK162" s="304"/>
      <c r="AL162" s="304"/>
      <c r="AM162" s="304"/>
      <c r="AN162" s="304"/>
      <c r="AO162" s="304"/>
    </row>
    <row r="163" spans="1:103" s="412" customFormat="1" x14ac:dyDescent="0.2">
      <c r="A163" s="672" t="s">
        <v>2983</v>
      </c>
      <c r="B163" s="672" t="s">
        <v>3134</v>
      </c>
      <c r="C163" s="672" t="s">
        <v>3031</v>
      </c>
      <c r="D163" s="672"/>
      <c r="E163" s="672"/>
      <c r="F163" s="763">
        <v>13490</v>
      </c>
      <c r="G163" s="672"/>
      <c r="H163" s="672"/>
      <c r="I163" s="672">
        <v>5.0999999999999996</v>
      </c>
      <c r="J163" s="759" t="s">
        <v>2500</v>
      </c>
      <c r="K163" s="672">
        <v>115</v>
      </c>
      <c r="L163" s="672"/>
      <c r="M163" s="672" t="s">
        <v>3572</v>
      </c>
      <c r="N163" s="672">
        <v>5</v>
      </c>
      <c r="O163" s="672">
        <v>66</v>
      </c>
      <c r="P163" s="672"/>
      <c r="Q163" s="672">
        <v>90</v>
      </c>
      <c r="R163" s="672"/>
      <c r="S163" s="672" t="s">
        <v>2762</v>
      </c>
      <c r="T163" s="758">
        <v>3840</v>
      </c>
      <c r="U163" s="758">
        <v>1735</v>
      </c>
      <c r="V163" s="758">
        <v>1480</v>
      </c>
      <c r="W163" s="758">
        <v>857</v>
      </c>
      <c r="X163" s="672"/>
      <c r="Y163" s="672"/>
      <c r="Z163" s="672"/>
      <c r="AA163" s="672" t="s">
        <v>3156</v>
      </c>
      <c r="AB163" s="672"/>
      <c r="AC163" s="672"/>
      <c r="AD163" s="672"/>
      <c r="AE163" t="s">
        <v>2779</v>
      </c>
      <c r="AF163" t="s">
        <v>2780</v>
      </c>
      <c r="AG163"/>
      <c r="AH163"/>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4"/>
      <c r="CB163" s="304"/>
      <c r="CC163" s="304"/>
      <c r="CD163" s="304"/>
      <c r="CE163" s="304"/>
      <c r="CF163" s="304"/>
      <c r="CG163" s="304"/>
      <c r="CH163" s="304"/>
      <c r="CI163" s="304"/>
      <c r="CJ163" s="304"/>
      <c r="CK163" s="304"/>
      <c r="CL163" s="304"/>
      <c r="CM163" s="304"/>
      <c r="CN163" s="304"/>
      <c r="CO163" s="304"/>
      <c r="CP163" s="304"/>
      <c r="CQ163" s="304"/>
      <c r="CR163" s="304"/>
      <c r="CS163" s="304"/>
      <c r="CT163" s="304"/>
      <c r="CU163" s="304"/>
      <c r="CV163" s="304"/>
      <c r="CW163" s="304"/>
      <c r="CX163" s="304"/>
      <c r="CY163" s="304"/>
    </row>
    <row r="164" spans="1:103" s="412" customFormat="1" x14ac:dyDescent="0.2">
      <c r="A164" s="672" t="s">
        <v>2983</v>
      </c>
      <c r="B164" s="672" t="s">
        <v>3222</v>
      </c>
      <c r="C164" s="672" t="s">
        <v>3715</v>
      </c>
      <c r="D164" s="672"/>
      <c r="E164" s="672"/>
      <c r="F164" s="763">
        <v>16390</v>
      </c>
      <c r="G164" s="672"/>
      <c r="H164" s="672"/>
      <c r="I164" s="672">
        <v>5.6</v>
      </c>
      <c r="J164" s="672" t="s">
        <v>2500</v>
      </c>
      <c r="K164" s="672">
        <v>126</v>
      </c>
      <c r="L164" s="672"/>
      <c r="M164" s="672" t="s">
        <v>3572</v>
      </c>
      <c r="N164" s="672">
        <v>4</v>
      </c>
      <c r="O164" s="672">
        <v>66</v>
      </c>
      <c r="P164" s="672"/>
      <c r="Q164" s="672">
        <v>90</v>
      </c>
      <c r="R164" s="672"/>
      <c r="S164" s="672" t="s">
        <v>2822</v>
      </c>
      <c r="T164" s="758">
        <v>3700</v>
      </c>
      <c r="U164" s="758">
        <v>1660</v>
      </c>
      <c r="V164" s="758">
        <v>1595</v>
      </c>
      <c r="W164" s="758">
        <v>860</v>
      </c>
      <c r="X164" s="672"/>
      <c r="Y164" s="672"/>
      <c r="Z164" s="672"/>
      <c r="AA164" s="672"/>
      <c r="AB164" s="672" t="s">
        <v>3156</v>
      </c>
      <c r="AC164" s="672"/>
      <c r="AD164" s="672"/>
      <c r="AE164"/>
      <c r="AF164"/>
      <c r="AG164"/>
      <c r="AH164"/>
      <c r="AI164" s="304"/>
      <c r="AJ164" s="304"/>
      <c r="AK164" s="304"/>
      <c r="AL164" s="304"/>
      <c r="AM164" s="304"/>
      <c r="AN164" s="304"/>
      <c r="AO164" s="304"/>
      <c r="AP164" s="304"/>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c r="BO164" s="304"/>
      <c r="BP164" s="304"/>
      <c r="BQ164" s="304"/>
      <c r="BR164" s="304"/>
      <c r="BS164" s="304"/>
      <c r="BT164" s="304"/>
      <c r="BU164" s="304"/>
      <c r="BV164" s="304"/>
      <c r="BW164" s="304"/>
      <c r="BX164" s="304"/>
      <c r="BY164" s="304"/>
      <c r="BZ164" s="304"/>
      <c r="CA164" s="304"/>
      <c r="CB164" s="304"/>
      <c r="CC164" s="304"/>
      <c r="CD164" s="304"/>
      <c r="CE164" s="304"/>
      <c r="CF164" s="304"/>
      <c r="CG164" s="304"/>
      <c r="CH164" s="304"/>
      <c r="CI164" s="304"/>
      <c r="CJ164" s="304"/>
      <c r="CK164" s="304"/>
      <c r="CL164" s="304"/>
      <c r="CM164" s="304"/>
      <c r="CN164" s="304"/>
      <c r="CO164" s="304"/>
      <c r="CP164" s="304"/>
      <c r="CQ164" s="304"/>
      <c r="CR164" s="304"/>
      <c r="CS164" s="304"/>
      <c r="CT164" s="304"/>
      <c r="CU164" s="304"/>
      <c r="CV164" s="304"/>
      <c r="CW164" s="304"/>
      <c r="CX164" s="304"/>
      <c r="CY164" s="304"/>
    </row>
    <row r="165" spans="1:103" s="412" customFormat="1" x14ac:dyDescent="0.2">
      <c r="A165" s="758" t="s">
        <v>2983</v>
      </c>
      <c r="B165" s="758" t="s">
        <v>3118</v>
      </c>
      <c r="C165" s="758" t="s">
        <v>3716</v>
      </c>
      <c r="D165" s="672"/>
      <c r="E165" s="758"/>
      <c r="F165" s="763">
        <v>26490</v>
      </c>
      <c r="G165" s="672"/>
      <c r="H165" s="672"/>
      <c r="I165" s="672">
        <v>7.4</v>
      </c>
      <c r="J165" s="759" t="s">
        <v>2500</v>
      </c>
      <c r="K165" s="672">
        <v>167</v>
      </c>
      <c r="L165" s="672"/>
      <c r="M165" s="672" t="s">
        <v>3140</v>
      </c>
      <c r="N165" s="672">
        <v>5</v>
      </c>
      <c r="O165" s="672">
        <v>103</v>
      </c>
      <c r="P165" s="672"/>
      <c r="Q165" s="672">
        <v>140</v>
      </c>
      <c r="R165" s="672"/>
      <c r="S165" s="672" t="s">
        <v>2785</v>
      </c>
      <c r="T165" s="758">
        <v>4170</v>
      </c>
      <c r="U165" s="758">
        <v>1775</v>
      </c>
      <c r="V165" s="758">
        <v>1595</v>
      </c>
      <c r="W165" s="758">
        <v>1205</v>
      </c>
      <c r="X165" s="672"/>
      <c r="Y165" s="672"/>
      <c r="Z165" s="672"/>
      <c r="AA165" s="672"/>
      <c r="AB165" s="672" t="s">
        <v>3731</v>
      </c>
      <c r="AC165" s="672"/>
      <c r="AD165" s="672"/>
      <c r="AE165" t="s">
        <v>2779</v>
      </c>
      <c r="AF165" t="s">
        <v>2780</v>
      </c>
      <c r="AG165"/>
      <c r="AH165"/>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c r="BG165" s="304"/>
      <c r="BH165" s="304"/>
      <c r="BI165" s="304"/>
      <c r="BJ165" s="304"/>
      <c r="BK165" s="304"/>
      <c r="BL165" s="304"/>
      <c r="BM165" s="304"/>
      <c r="BN165" s="304"/>
      <c r="BO165" s="304"/>
      <c r="BP165" s="304"/>
      <c r="BQ165" s="304"/>
      <c r="BR165" s="304"/>
      <c r="BS165" s="304"/>
      <c r="BT165" s="304"/>
      <c r="BU165" s="304"/>
      <c r="BV165" s="304"/>
      <c r="BW165" s="304"/>
      <c r="BX165" s="304"/>
      <c r="BY165" s="304"/>
      <c r="BZ165" s="304"/>
      <c r="CA165" s="304"/>
      <c r="CB165" s="304"/>
      <c r="CC165" s="304"/>
      <c r="CD165" s="304"/>
      <c r="CE165" s="304"/>
      <c r="CF165" s="304"/>
      <c r="CG165" s="304"/>
      <c r="CH165" s="304"/>
      <c r="CI165" s="304"/>
      <c r="CJ165" s="304"/>
      <c r="CK165" s="304"/>
      <c r="CL165" s="304"/>
      <c r="CM165" s="304"/>
      <c r="CN165" s="304"/>
      <c r="CO165" s="304"/>
      <c r="CP165" s="304"/>
      <c r="CQ165" s="304"/>
      <c r="CR165" s="304"/>
      <c r="CS165" s="304"/>
      <c r="CT165" s="304"/>
      <c r="CU165" s="304"/>
      <c r="CV165" s="304"/>
      <c r="CW165" s="304"/>
      <c r="CX165" s="304"/>
      <c r="CY165" s="304"/>
    </row>
    <row r="166" spans="1:103" x14ac:dyDescent="0.2">
      <c r="A166" s="758" t="s">
        <v>2990</v>
      </c>
      <c r="B166" s="758" t="s">
        <v>2746</v>
      </c>
      <c r="C166" s="758" t="s">
        <v>2909</v>
      </c>
      <c r="D166" s="672"/>
      <c r="E166" s="758"/>
      <c r="F166" s="763">
        <v>11490</v>
      </c>
      <c r="G166" s="672"/>
      <c r="H166" s="672"/>
      <c r="I166" s="672">
        <v>5</v>
      </c>
      <c r="J166" s="759" t="s">
        <v>2500</v>
      </c>
      <c r="K166" s="672">
        <v>112</v>
      </c>
      <c r="L166" s="672"/>
      <c r="M166" s="672" t="s">
        <v>3573</v>
      </c>
      <c r="N166" s="672">
        <v>4</v>
      </c>
      <c r="O166" s="672">
        <v>53</v>
      </c>
      <c r="P166" s="672"/>
      <c r="Q166" s="672">
        <v>72</v>
      </c>
      <c r="R166" s="672"/>
      <c r="S166" s="672" t="s">
        <v>2762</v>
      </c>
      <c r="T166" s="758">
        <v>3465</v>
      </c>
      <c r="U166" s="758">
        <v>1615</v>
      </c>
      <c r="V166" s="758">
        <v>1460</v>
      </c>
      <c r="W166" s="758">
        <v>840</v>
      </c>
      <c r="X166" s="672"/>
      <c r="Y166" s="672"/>
      <c r="Z166" s="672"/>
      <c r="AA166" s="672" t="s">
        <v>3146</v>
      </c>
      <c r="AB166" s="672" t="s">
        <v>3147</v>
      </c>
      <c r="AC166" s="672" t="s">
        <v>3148</v>
      </c>
      <c r="AD166" s="672"/>
      <c r="AE166"/>
      <c r="AF166"/>
      <c r="AG166"/>
      <c r="AH166"/>
    </row>
    <row r="167" spans="1:103" x14ac:dyDescent="0.2">
      <c r="A167" s="672" t="s">
        <v>2990</v>
      </c>
      <c r="B167" s="672" t="s">
        <v>3133</v>
      </c>
      <c r="C167" s="672" t="s">
        <v>2909</v>
      </c>
      <c r="D167" s="672"/>
      <c r="E167" s="672"/>
      <c r="F167" s="763">
        <v>13190</v>
      </c>
      <c r="G167" s="672"/>
      <c r="H167" s="672"/>
      <c r="I167" s="672">
        <v>5.8</v>
      </c>
      <c r="J167" s="672" t="s">
        <v>2500</v>
      </c>
      <c r="K167" s="672">
        <v>131</v>
      </c>
      <c r="L167" s="672"/>
      <c r="M167" s="672" t="s">
        <v>3573</v>
      </c>
      <c r="N167" s="672">
        <v>5</v>
      </c>
      <c r="O167" s="672">
        <v>53</v>
      </c>
      <c r="P167" s="672"/>
      <c r="Q167" s="672">
        <v>72</v>
      </c>
      <c r="R167" s="672"/>
      <c r="S167" s="672" t="s">
        <v>2762</v>
      </c>
      <c r="T167" s="758">
        <v>3945</v>
      </c>
      <c r="U167" s="758">
        <v>1695</v>
      </c>
      <c r="V167" s="758">
        <v>1510</v>
      </c>
      <c r="W167" s="758">
        <v>980</v>
      </c>
      <c r="X167" s="672" t="s">
        <v>3587</v>
      </c>
      <c r="Y167" s="672" t="s">
        <v>3588</v>
      </c>
      <c r="Z167" s="672"/>
      <c r="AA167" s="672" t="s">
        <v>3190</v>
      </c>
      <c r="AB167" s="672" t="s">
        <v>2777</v>
      </c>
      <c r="AC167" s="672"/>
      <c r="AD167" s="672"/>
      <c r="AE167"/>
      <c r="AF167"/>
      <c r="AG167"/>
      <c r="AH167"/>
      <c r="AP167" s="412"/>
      <c r="AQ167" s="412"/>
      <c r="AR167" s="412"/>
      <c r="AS167" s="412"/>
      <c r="AT167" s="412"/>
      <c r="AU167" s="412"/>
      <c r="AV167" s="412"/>
      <c r="AW167" s="412"/>
      <c r="AX167" s="412"/>
      <c r="AY167" s="412"/>
      <c r="AZ167" s="412"/>
      <c r="BA167" s="412"/>
      <c r="BB167" s="412"/>
      <c r="BC167" s="412"/>
      <c r="BD167" s="412"/>
      <c r="BE167" s="412"/>
      <c r="BF167" s="412"/>
      <c r="BG167" s="412"/>
      <c r="BH167" s="412"/>
      <c r="BI167" s="412"/>
      <c r="BJ167" s="412"/>
      <c r="BK167" s="412"/>
      <c r="BL167" s="412"/>
      <c r="BM167" s="412"/>
      <c r="BN167" s="412"/>
      <c r="BO167" s="412"/>
      <c r="BP167" s="412"/>
      <c r="BQ167" s="412"/>
      <c r="BR167" s="412"/>
      <c r="BS167" s="412"/>
      <c r="BT167" s="412"/>
      <c r="BU167" s="412"/>
      <c r="BV167" s="412"/>
      <c r="BW167" s="412"/>
      <c r="BX167" s="412"/>
      <c r="BY167" s="412"/>
      <c r="BZ167" s="412"/>
      <c r="CA167" s="412"/>
      <c r="CB167" s="412"/>
      <c r="CC167" s="412"/>
      <c r="CD167" s="412"/>
      <c r="CE167" s="412"/>
      <c r="CF167" s="412"/>
      <c r="CG167" s="412"/>
      <c r="CH167" s="412"/>
      <c r="CI167" s="412"/>
      <c r="CJ167" s="412"/>
      <c r="CK167" s="412"/>
      <c r="CL167" s="412"/>
      <c r="CM167" s="412"/>
      <c r="CN167" s="412"/>
      <c r="CO167" s="412"/>
      <c r="CP167" s="412"/>
      <c r="CQ167" s="412"/>
      <c r="CR167" s="412"/>
      <c r="CS167" s="412"/>
      <c r="CT167" s="412"/>
      <c r="CU167" s="412"/>
      <c r="CV167" s="412"/>
      <c r="CW167" s="412"/>
      <c r="CX167" s="412"/>
      <c r="CY167" s="412"/>
    </row>
    <row r="168" spans="1:103" x14ac:dyDescent="0.2">
      <c r="A168" s="672" t="s">
        <v>2990</v>
      </c>
      <c r="B168" s="759" t="s">
        <v>3677</v>
      </c>
      <c r="C168" s="759" t="s">
        <v>3169</v>
      </c>
      <c r="D168" s="759"/>
      <c r="E168" s="759"/>
      <c r="F168" s="764">
        <v>22290</v>
      </c>
      <c r="G168" s="759"/>
      <c r="H168" s="759"/>
      <c r="I168" s="759">
        <v>6.2</v>
      </c>
      <c r="J168" s="672" t="s">
        <v>2500</v>
      </c>
      <c r="K168" s="759">
        <v>140</v>
      </c>
      <c r="L168" s="759"/>
      <c r="M168" s="759" t="s">
        <v>3140</v>
      </c>
      <c r="N168" s="759">
        <v>5</v>
      </c>
      <c r="O168" s="759">
        <v>85</v>
      </c>
      <c r="P168" s="759"/>
      <c r="Q168" s="759">
        <v>116</v>
      </c>
      <c r="R168" s="759"/>
      <c r="S168" s="759" t="s">
        <v>2785</v>
      </c>
      <c r="T168" s="761">
        <v>4650</v>
      </c>
      <c r="U168" s="761">
        <v>1790</v>
      </c>
      <c r="V168" s="761">
        <v>1435</v>
      </c>
      <c r="W168" s="761">
        <v>1205</v>
      </c>
      <c r="X168" s="759"/>
      <c r="Y168" s="759"/>
      <c r="Z168" s="759"/>
      <c r="AA168" s="759"/>
      <c r="AB168" s="759"/>
      <c r="AC168" s="759"/>
      <c r="AD168" s="759" t="s">
        <v>3712</v>
      </c>
      <c r="AE168"/>
      <c r="AF168"/>
      <c r="AG168"/>
      <c r="AH168"/>
      <c r="AP168" s="412"/>
      <c r="AQ168" s="412"/>
      <c r="AR168" s="412"/>
      <c r="AS168" s="412"/>
      <c r="AT168" s="412"/>
      <c r="AU168" s="412"/>
      <c r="AV168" s="412"/>
      <c r="AW168" s="412"/>
      <c r="AX168" s="412"/>
      <c r="AY168" s="412"/>
      <c r="AZ168" s="412"/>
      <c r="BA168" s="412"/>
      <c r="BB168" s="412"/>
      <c r="BC168" s="412"/>
      <c r="BD168" s="412"/>
      <c r="BE168" s="412"/>
      <c r="BF168" s="412"/>
      <c r="BG168" s="412"/>
      <c r="BH168" s="412"/>
      <c r="BI168" s="412"/>
      <c r="BJ168" s="412"/>
      <c r="BK168" s="412"/>
      <c r="BL168" s="412"/>
      <c r="BM168" s="412"/>
      <c r="BN168" s="412"/>
      <c r="BO168" s="412"/>
      <c r="BP168" s="412"/>
      <c r="BQ168" s="412"/>
      <c r="BR168" s="412"/>
      <c r="BS168" s="412"/>
      <c r="BT168" s="412"/>
      <c r="BU168" s="412"/>
      <c r="BV168" s="412"/>
      <c r="BW168" s="412"/>
      <c r="BX168" s="412"/>
      <c r="BY168" s="412"/>
      <c r="BZ168" s="412"/>
      <c r="CA168" s="412"/>
      <c r="CB168" s="412"/>
      <c r="CC168" s="412"/>
      <c r="CD168" s="412"/>
      <c r="CE168" s="412"/>
      <c r="CF168" s="412"/>
      <c r="CG168" s="412"/>
      <c r="CH168" s="412"/>
      <c r="CI168" s="412"/>
      <c r="CJ168" s="412"/>
      <c r="CK168" s="412"/>
      <c r="CL168" s="412"/>
      <c r="CM168" s="412"/>
      <c r="CN168" s="412"/>
      <c r="CO168" s="412"/>
      <c r="CP168" s="412"/>
      <c r="CQ168" s="412"/>
      <c r="CR168" s="412"/>
      <c r="CS168" s="412"/>
      <c r="CT168" s="412"/>
      <c r="CU168" s="412"/>
      <c r="CV168" s="412"/>
      <c r="CW168" s="412"/>
      <c r="CX168" s="412"/>
      <c r="CY168" s="412"/>
    </row>
    <row r="169" spans="1:103" x14ac:dyDescent="0.2">
      <c r="A169" s="758" t="s">
        <v>2540</v>
      </c>
      <c r="B169" s="758" t="s">
        <v>2894</v>
      </c>
      <c r="C169" s="758" t="s">
        <v>3138</v>
      </c>
      <c r="D169" s="758"/>
      <c r="E169" s="758"/>
      <c r="F169" s="763">
        <v>12680</v>
      </c>
      <c r="G169" s="758"/>
      <c r="H169" s="758"/>
      <c r="I169" s="758">
        <v>5.4</v>
      </c>
      <c r="J169" s="672" t="s">
        <v>2500</v>
      </c>
      <c r="K169" s="758">
        <v>123</v>
      </c>
      <c r="L169" s="758"/>
      <c r="M169" s="758" t="s">
        <v>3573</v>
      </c>
      <c r="N169" s="758">
        <v>5</v>
      </c>
      <c r="O169" s="758">
        <v>44</v>
      </c>
      <c r="P169" s="758"/>
      <c r="Q169" s="758">
        <v>60</v>
      </c>
      <c r="R169" s="758"/>
      <c r="S169" s="758" t="s">
        <v>2762</v>
      </c>
      <c r="T169" s="758">
        <v>3600</v>
      </c>
      <c r="U169" s="758">
        <v>1910</v>
      </c>
      <c r="V169" s="758">
        <v>1504</v>
      </c>
      <c r="W169" s="758">
        <v>980</v>
      </c>
      <c r="X169" s="758" t="s">
        <v>3138</v>
      </c>
      <c r="Y169" s="758" t="s">
        <v>3581</v>
      </c>
      <c r="Z169" s="758"/>
      <c r="AA169" s="758" t="s">
        <v>3597</v>
      </c>
      <c r="AB169" s="758" t="s">
        <v>3598</v>
      </c>
      <c r="AC169" s="758" t="s">
        <v>3599</v>
      </c>
      <c r="AD169" s="758"/>
      <c r="AE169"/>
      <c r="AF169"/>
      <c r="AG169"/>
      <c r="AH169"/>
      <c r="AP169" s="412"/>
      <c r="AQ169" s="412"/>
      <c r="AR169" s="412"/>
      <c r="AS169" s="412"/>
      <c r="AT169" s="412"/>
      <c r="AU169" s="412"/>
      <c r="AV169" s="412"/>
      <c r="AW169" s="412"/>
      <c r="AX169" s="412"/>
      <c r="AY169" s="412"/>
      <c r="AZ169" s="412"/>
      <c r="BA169" s="412"/>
      <c r="BB169" s="412"/>
      <c r="BC169" s="412"/>
      <c r="BD169" s="412"/>
      <c r="BE169" s="412"/>
      <c r="BF169" s="412"/>
      <c r="BG169" s="412"/>
      <c r="BH169" s="412"/>
      <c r="BI169" s="412"/>
      <c r="BJ169" s="412"/>
      <c r="BK169" s="412"/>
      <c r="BL169" s="412"/>
      <c r="BM169" s="412"/>
      <c r="BN169" s="412"/>
      <c r="BO169" s="412"/>
      <c r="BP169" s="412"/>
      <c r="BQ169" s="412"/>
      <c r="BR169" s="412"/>
      <c r="BS169" s="412"/>
      <c r="BT169" s="412"/>
      <c r="BU169" s="412"/>
      <c r="BV169" s="412"/>
      <c r="BW169" s="412"/>
      <c r="BX169" s="412"/>
      <c r="BY169" s="412"/>
      <c r="BZ169" s="412"/>
      <c r="CA169" s="412"/>
      <c r="CB169" s="412"/>
      <c r="CC169" s="412"/>
      <c r="CD169" s="412"/>
      <c r="CE169" s="412"/>
      <c r="CF169" s="412"/>
      <c r="CG169" s="412"/>
      <c r="CH169" s="412"/>
      <c r="CI169" s="412"/>
      <c r="CJ169" s="412"/>
      <c r="CK169" s="412"/>
      <c r="CL169" s="412"/>
      <c r="CM169" s="412"/>
      <c r="CN169" s="412"/>
      <c r="CO169" s="412"/>
      <c r="CP169" s="412"/>
      <c r="CQ169" s="412"/>
      <c r="CR169" s="412"/>
      <c r="CS169" s="412"/>
      <c r="CT169" s="412"/>
      <c r="CU169" s="412"/>
      <c r="CV169" s="412"/>
      <c r="CW169" s="412"/>
      <c r="CX169" s="412"/>
      <c r="CY169" s="412"/>
    </row>
    <row r="170" spans="1:103" x14ac:dyDescent="0.2">
      <c r="A170" s="758" t="s">
        <v>2540</v>
      </c>
      <c r="B170" s="758" t="s">
        <v>2819</v>
      </c>
      <c r="C170" s="758" t="s">
        <v>2915</v>
      </c>
      <c r="D170" s="672"/>
      <c r="E170" s="758"/>
      <c r="F170" s="763">
        <v>15110</v>
      </c>
      <c r="G170" s="672"/>
      <c r="H170" s="672"/>
      <c r="I170" s="672">
        <v>5.3</v>
      </c>
      <c r="J170" s="759" t="s">
        <v>2500</v>
      </c>
      <c r="K170" s="672">
        <v>120</v>
      </c>
      <c r="L170" s="672"/>
      <c r="M170" s="672" t="s">
        <v>3573</v>
      </c>
      <c r="N170" s="672">
        <v>5</v>
      </c>
      <c r="O170" s="672">
        <v>85</v>
      </c>
      <c r="P170" s="672"/>
      <c r="Q170" s="672">
        <v>115</v>
      </c>
      <c r="R170" s="672"/>
      <c r="S170" s="672" t="s">
        <v>2785</v>
      </c>
      <c r="T170" s="758">
        <v>4053</v>
      </c>
      <c r="U170" s="758">
        <v>1964</v>
      </c>
      <c r="V170" s="758">
        <v>1461</v>
      </c>
      <c r="W170" s="758">
        <v>1120</v>
      </c>
      <c r="X170" s="672" t="s">
        <v>3631</v>
      </c>
      <c r="Y170" s="672"/>
      <c r="Z170" s="672"/>
      <c r="AA170" s="672"/>
      <c r="AB170" s="672"/>
      <c r="AC170" s="672"/>
      <c r="AD170" s="672" t="s">
        <v>3149</v>
      </c>
      <c r="AE170"/>
      <c r="AF170"/>
      <c r="AG170"/>
      <c r="AH170"/>
    </row>
    <row r="171" spans="1:103" x14ac:dyDescent="0.2">
      <c r="A171" s="672" t="s">
        <v>2540</v>
      </c>
      <c r="B171" s="672" t="s">
        <v>3261</v>
      </c>
      <c r="C171" s="672" t="s">
        <v>3612</v>
      </c>
      <c r="D171" s="672"/>
      <c r="E171" s="672"/>
      <c r="F171" s="763">
        <v>26990</v>
      </c>
      <c r="G171" s="672"/>
      <c r="H171" s="672"/>
      <c r="I171" s="672">
        <v>5.4</v>
      </c>
      <c r="J171" s="672" t="s">
        <v>2500</v>
      </c>
      <c r="K171" s="672">
        <v>122</v>
      </c>
      <c r="L171" s="672"/>
      <c r="M171" s="672" t="s">
        <v>3573</v>
      </c>
      <c r="N171" s="672">
        <v>5</v>
      </c>
      <c r="O171" s="672">
        <v>96</v>
      </c>
      <c r="P171" s="672"/>
      <c r="Q171" s="672">
        <v>130</v>
      </c>
      <c r="R171" s="672"/>
      <c r="S171" s="672" t="s">
        <v>2785</v>
      </c>
      <c r="T171" s="758">
        <v>4284</v>
      </c>
      <c r="U171" s="758">
        <v>1789</v>
      </c>
      <c r="V171" s="758">
        <v>1491</v>
      </c>
      <c r="W171" s="758">
        <v>1315</v>
      </c>
      <c r="X171" s="672"/>
      <c r="Y171" s="672"/>
      <c r="Z171" s="672"/>
      <c r="AA171" s="672"/>
      <c r="AB171" s="672"/>
      <c r="AC171" s="672"/>
      <c r="AD171" s="672" t="s">
        <v>3664</v>
      </c>
      <c r="AE171"/>
      <c r="AF171"/>
      <c r="AG171"/>
      <c r="AH171"/>
    </row>
    <row r="172" spans="1:103" x14ac:dyDescent="0.2">
      <c r="A172" s="672" t="s">
        <v>2540</v>
      </c>
      <c r="B172" s="672" t="s">
        <v>2789</v>
      </c>
      <c r="C172" s="672" t="s">
        <v>2915</v>
      </c>
      <c r="D172" s="672"/>
      <c r="E172" s="672"/>
      <c r="F172" s="763">
        <v>25570</v>
      </c>
      <c r="G172" s="672"/>
      <c r="H172" s="672"/>
      <c r="I172" s="672">
        <v>5.6</v>
      </c>
      <c r="J172" s="672" t="s">
        <v>2500</v>
      </c>
      <c r="K172" s="672">
        <v>126</v>
      </c>
      <c r="L172" s="672"/>
      <c r="M172" s="672" t="s">
        <v>3573</v>
      </c>
      <c r="N172" s="672">
        <v>5</v>
      </c>
      <c r="O172" s="672">
        <v>85</v>
      </c>
      <c r="P172" s="672"/>
      <c r="Q172" s="672">
        <v>116</v>
      </c>
      <c r="R172" s="672"/>
      <c r="S172" s="672" t="s">
        <v>2785</v>
      </c>
      <c r="T172" s="758">
        <v>4567</v>
      </c>
      <c r="U172" s="758">
        <v>2027</v>
      </c>
      <c r="V172" s="758">
        <v>1515</v>
      </c>
      <c r="W172" s="758">
        <v>1300</v>
      </c>
      <c r="X172" s="672" t="s">
        <v>3172</v>
      </c>
      <c r="Y172" s="672" t="s">
        <v>3689</v>
      </c>
      <c r="Z172" s="672" t="s">
        <v>3172</v>
      </c>
      <c r="AA172" s="672" t="s">
        <v>3690</v>
      </c>
      <c r="AB172" s="672"/>
      <c r="AC172" s="672"/>
      <c r="AD172" s="672" t="s">
        <v>2947</v>
      </c>
      <c r="AE172" t="s">
        <v>3107</v>
      </c>
      <c r="AF172" t="s">
        <v>3108</v>
      </c>
      <c r="AG172"/>
      <c r="AH172"/>
    </row>
    <row r="173" spans="1:103" x14ac:dyDescent="0.2">
      <c r="A173" s="759" t="s">
        <v>2540</v>
      </c>
      <c r="B173" s="672" t="s">
        <v>3676</v>
      </c>
      <c r="C173" s="672" t="s">
        <v>3612</v>
      </c>
      <c r="D173" s="672"/>
      <c r="E173" s="672"/>
      <c r="F173" s="763">
        <v>32590</v>
      </c>
      <c r="G173" s="672"/>
      <c r="H173" s="672"/>
      <c r="I173" s="672">
        <v>5.8</v>
      </c>
      <c r="J173" s="759" t="s">
        <v>2500</v>
      </c>
      <c r="K173" s="672">
        <v>133</v>
      </c>
      <c r="L173" s="672"/>
      <c r="M173" s="672" t="s">
        <v>3573</v>
      </c>
      <c r="N173" s="672">
        <v>5</v>
      </c>
      <c r="O173" s="672">
        <v>110</v>
      </c>
      <c r="P173" s="672"/>
      <c r="Q173" s="672">
        <v>150</v>
      </c>
      <c r="R173" s="672"/>
      <c r="S173" s="672" t="s">
        <v>2785</v>
      </c>
      <c r="T173" s="758">
        <v>4775</v>
      </c>
      <c r="U173" s="758">
        <v>2083</v>
      </c>
      <c r="V173" s="758">
        <v>1483</v>
      </c>
      <c r="W173" s="758">
        <v>1425</v>
      </c>
      <c r="X173" s="672" t="s">
        <v>3695</v>
      </c>
      <c r="Y173" s="672" t="s">
        <v>3696</v>
      </c>
      <c r="Z173" s="672"/>
      <c r="AA173" s="672"/>
      <c r="AB173" s="672"/>
      <c r="AC173" s="672"/>
      <c r="AD173" s="672" t="s">
        <v>3709</v>
      </c>
      <c r="AE173"/>
      <c r="AF173"/>
      <c r="AG173"/>
      <c r="AH173"/>
      <c r="AP173" s="412"/>
      <c r="AQ173" s="412"/>
      <c r="AR173" s="412"/>
      <c r="AS173" s="412"/>
      <c r="AT173" s="412"/>
      <c r="AU173" s="412"/>
      <c r="AV173" s="412"/>
      <c r="AW173" s="412"/>
      <c r="AX173" s="412"/>
      <c r="AY173" s="412"/>
      <c r="AZ173" s="412"/>
      <c r="BA173" s="412"/>
      <c r="BB173" s="412"/>
      <c r="BC173" s="412"/>
      <c r="BD173" s="412"/>
      <c r="BE173" s="412"/>
      <c r="BF173" s="412"/>
      <c r="BG173" s="412"/>
      <c r="BH173" s="412"/>
      <c r="BI173" s="412"/>
      <c r="BJ173" s="412"/>
      <c r="BK173" s="412"/>
      <c r="BL173" s="412"/>
      <c r="BM173" s="412"/>
      <c r="BN173" s="412"/>
      <c r="BO173" s="412"/>
      <c r="BP173" s="412"/>
      <c r="BQ173" s="412"/>
      <c r="BR173" s="412"/>
      <c r="BS173" s="412"/>
      <c r="BT173" s="412"/>
      <c r="BU173" s="412"/>
      <c r="BV173" s="412"/>
      <c r="BW173" s="412"/>
      <c r="BX173" s="412"/>
      <c r="BY173" s="412"/>
      <c r="BZ173" s="412"/>
      <c r="CA173" s="412"/>
      <c r="CB173" s="412"/>
      <c r="CC173" s="412"/>
      <c r="CD173" s="412"/>
      <c r="CE173" s="412"/>
      <c r="CF173" s="412"/>
      <c r="CG173" s="412"/>
      <c r="CH173" s="412"/>
      <c r="CI173" s="412"/>
      <c r="CJ173" s="412"/>
      <c r="CK173" s="412"/>
      <c r="CL173" s="412"/>
      <c r="CM173" s="412"/>
      <c r="CN173" s="412"/>
      <c r="CO173" s="412"/>
      <c r="CP173" s="412"/>
      <c r="CQ173" s="412"/>
      <c r="CR173" s="412"/>
      <c r="CS173" s="412"/>
      <c r="CT173" s="412"/>
      <c r="CU173" s="412"/>
      <c r="CV173" s="412"/>
      <c r="CW173" s="412"/>
      <c r="CX173" s="412"/>
      <c r="CY173" s="412"/>
    </row>
    <row r="174" spans="1:103" x14ac:dyDescent="0.2">
      <c r="A174" s="672" t="s">
        <v>2540</v>
      </c>
      <c r="B174" s="672" t="s">
        <v>3224</v>
      </c>
      <c r="C174" s="672" t="s">
        <v>2915</v>
      </c>
      <c r="D174" s="672"/>
      <c r="E174" s="672"/>
      <c r="F174" s="763">
        <v>19790</v>
      </c>
      <c r="G174" s="672"/>
      <c r="H174" s="672"/>
      <c r="I174" s="672">
        <v>5.9</v>
      </c>
      <c r="J174" s="759" t="s">
        <v>2500</v>
      </c>
      <c r="K174" s="672">
        <v>133</v>
      </c>
      <c r="L174" s="672"/>
      <c r="M174" s="672" t="s">
        <v>3573</v>
      </c>
      <c r="N174" s="672">
        <v>5</v>
      </c>
      <c r="O174" s="672">
        <v>70</v>
      </c>
      <c r="P174" s="672"/>
      <c r="Q174" s="672">
        <v>95</v>
      </c>
      <c r="R174" s="672"/>
      <c r="S174" s="672" t="s">
        <v>2762</v>
      </c>
      <c r="T174" s="758">
        <v>4108</v>
      </c>
      <c r="U174" s="758">
        <v>1977</v>
      </c>
      <c r="V174" s="758">
        <v>1584</v>
      </c>
      <c r="W174" s="758">
        <v>1245</v>
      </c>
      <c r="X174" s="672" t="s">
        <v>2915</v>
      </c>
      <c r="Y174" s="672" t="s">
        <v>3718</v>
      </c>
      <c r="Z174" s="672"/>
      <c r="AA174" s="672"/>
      <c r="AB174" s="672" t="s">
        <v>3230</v>
      </c>
      <c r="AC174" s="672"/>
      <c r="AD174" s="672"/>
      <c r="AE174"/>
      <c r="AF174"/>
      <c r="AG174"/>
      <c r="AH174"/>
    </row>
    <row r="175" spans="1:103" x14ac:dyDescent="0.2">
      <c r="A175" s="758" t="s">
        <v>2540</v>
      </c>
      <c r="B175" s="672" t="s">
        <v>2945</v>
      </c>
      <c r="C175" s="672" t="s">
        <v>3243</v>
      </c>
      <c r="D175" s="672"/>
      <c r="E175" s="672"/>
      <c r="F175" s="763">
        <v>27420</v>
      </c>
      <c r="G175" s="672"/>
      <c r="H175" s="672"/>
      <c r="I175" s="672">
        <v>5.9</v>
      </c>
      <c r="J175" s="672" t="s">
        <v>2500</v>
      </c>
      <c r="K175" s="672">
        <v>133</v>
      </c>
      <c r="L175" s="672"/>
      <c r="M175" s="672" t="s">
        <v>3573</v>
      </c>
      <c r="N175" s="672">
        <v>5</v>
      </c>
      <c r="O175" s="672">
        <v>85</v>
      </c>
      <c r="P175" s="672"/>
      <c r="Q175" s="672">
        <v>116</v>
      </c>
      <c r="R175" s="672"/>
      <c r="S175" s="672" t="s">
        <v>2785</v>
      </c>
      <c r="T175" s="758">
        <v>4351</v>
      </c>
      <c r="U175" s="758">
        <v>2050</v>
      </c>
      <c r="V175" s="758">
        <v>1613</v>
      </c>
      <c r="W175" s="672">
        <v>1330</v>
      </c>
      <c r="X175" s="672" t="s">
        <v>3172</v>
      </c>
      <c r="Y175" s="672" t="s">
        <v>3739</v>
      </c>
      <c r="Z175" s="672" t="s">
        <v>3172</v>
      </c>
      <c r="AA175" s="672" t="s">
        <v>3740</v>
      </c>
      <c r="AB175" s="672" t="s">
        <v>3248</v>
      </c>
      <c r="AC175" s="672"/>
      <c r="AD175" s="672"/>
      <c r="AE175"/>
      <c r="AF175"/>
      <c r="AG175"/>
      <c r="AH175"/>
      <c r="AP175" s="412"/>
      <c r="AQ175" s="412"/>
      <c r="AR175" s="412"/>
      <c r="AS175" s="412"/>
      <c r="AT175" s="412"/>
      <c r="AU175" s="412"/>
      <c r="AV175" s="412"/>
      <c r="AW175" s="412"/>
      <c r="AX175" s="412"/>
      <c r="AY175" s="412"/>
      <c r="AZ175" s="412"/>
      <c r="BA175" s="412"/>
      <c r="BB175" s="412"/>
      <c r="BC175" s="412"/>
      <c r="BD175" s="412"/>
      <c r="BE175" s="412"/>
      <c r="BF175" s="412"/>
      <c r="BG175" s="412"/>
      <c r="BH175" s="412"/>
      <c r="BI175" s="412"/>
      <c r="BJ175" s="412"/>
      <c r="BK175" s="412"/>
      <c r="BL175" s="412"/>
      <c r="BM175" s="412"/>
      <c r="BN175" s="412"/>
      <c r="BO175" s="412"/>
      <c r="BP175" s="412"/>
      <c r="BQ175" s="412"/>
      <c r="BR175" s="412"/>
      <c r="BS175" s="412"/>
      <c r="BT175" s="412"/>
      <c r="BU175" s="412"/>
      <c r="BV175" s="412"/>
      <c r="BW175" s="412"/>
      <c r="BX175" s="412"/>
      <c r="BY175" s="412"/>
      <c r="BZ175" s="412"/>
      <c r="CA175" s="412"/>
      <c r="CB175" s="412"/>
      <c r="CC175" s="412"/>
      <c r="CD175" s="412"/>
      <c r="CE175" s="412"/>
      <c r="CF175" s="412"/>
      <c r="CG175" s="412"/>
      <c r="CH175" s="412"/>
      <c r="CI175" s="412"/>
      <c r="CJ175" s="412"/>
      <c r="CK175" s="412"/>
      <c r="CL175" s="412"/>
      <c r="CM175" s="412"/>
      <c r="CN175" s="412"/>
      <c r="CO175" s="412"/>
      <c r="CP175" s="412"/>
      <c r="CQ175" s="412"/>
      <c r="CR175" s="412"/>
      <c r="CS175" s="412"/>
      <c r="CT175" s="412"/>
      <c r="CU175" s="412"/>
      <c r="CV175" s="412"/>
      <c r="CW175" s="412"/>
      <c r="CX175" s="412"/>
      <c r="CY175" s="412"/>
    </row>
    <row r="176" spans="1:103" x14ac:dyDescent="0.2">
      <c r="A176" s="672" t="s">
        <v>2540</v>
      </c>
      <c r="B176" s="672" t="s">
        <v>3261</v>
      </c>
      <c r="C176" s="672" t="s">
        <v>2831</v>
      </c>
      <c r="D176" s="672"/>
      <c r="E176" s="672"/>
      <c r="F176" s="763">
        <v>29390</v>
      </c>
      <c r="G176" s="672"/>
      <c r="H176" s="672"/>
      <c r="I176" s="672">
        <v>4.0999999999999996</v>
      </c>
      <c r="J176" s="672" t="s">
        <v>2500</v>
      </c>
      <c r="K176" s="672">
        <v>107</v>
      </c>
      <c r="L176" s="672"/>
      <c r="M176" s="672" t="s">
        <v>3573</v>
      </c>
      <c r="N176" s="672">
        <v>5</v>
      </c>
      <c r="O176" s="672">
        <v>85</v>
      </c>
      <c r="P176" s="672"/>
      <c r="Q176" s="672">
        <v>115</v>
      </c>
      <c r="R176" s="672"/>
      <c r="S176" s="672" t="s">
        <v>2785</v>
      </c>
      <c r="T176" s="758">
        <v>4284</v>
      </c>
      <c r="U176" s="758">
        <v>1789</v>
      </c>
      <c r="V176" s="758">
        <v>1491</v>
      </c>
      <c r="W176" s="758">
        <v>1380</v>
      </c>
      <c r="X176" s="672"/>
      <c r="Y176" s="672"/>
      <c r="Z176" s="672"/>
      <c r="AA176" s="672"/>
      <c r="AB176" s="672" t="s">
        <v>3789</v>
      </c>
      <c r="AC176" s="672"/>
      <c r="AD176" s="672"/>
      <c r="AE176"/>
      <c r="AF176"/>
      <c r="AG176"/>
      <c r="AH176"/>
      <c r="AI176" s="304" t="s">
        <v>2951</v>
      </c>
    </row>
    <row r="177" spans="1:103" x14ac:dyDescent="0.2">
      <c r="A177" s="672" t="s">
        <v>2540</v>
      </c>
      <c r="B177" s="672" t="s">
        <v>2830</v>
      </c>
      <c r="C177" s="672" t="s">
        <v>2831</v>
      </c>
      <c r="D177" s="672"/>
      <c r="E177" s="672"/>
      <c r="F177" s="763">
        <v>36659</v>
      </c>
      <c r="G177" s="672"/>
      <c r="H177" s="672"/>
      <c r="I177" s="672">
        <v>4.7</v>
      </c>
      <c r="J177" s="672" t="s">
        <v>2500</v>
      </c>
      <c r="K177" s="672">
        <v>122</v>
      </c>
      <c r="L177" s="672"/>
      <c r="M177" s="672" t="s">
        <v>3573</v>
      </c>
      <c r="N177" s="672">
        <v>5</v>
      </c>
      <c r="O177" s="672">
        <v>110</v>
      </c>
      <c r="P177" s="672"/>
      <c r="Q177" s="672">
        <v>150</v>
      </c>
      <c r="R177" s="672"/>
      <c r="S177" s="672" t="s">
        <v>2785</v>
      </c>
      <c r="T177" s="758">
        <v>4775</v>
      </c>
      <c r="U177" s="758">
        <v>2083</v>
      </c>
      <c r="V177" s="758">
        <v>1483</v>
      </c>
      <c r="W177" s="758">
        <v>1525</v>
      </c>
      <c r="X177" s="672" t="s">
        <v>2821</v>
      </c>
      <c r="Y177" s="672" t="s">
        <v>3826</v>
      </c>
      <c r="Z177" s="672"/>
      <c r="AA177" s="672"/>
      <c r="AB177" s="672" t="s">
        <v>3709</v>
      </c>
      <c r="AC177" s="672"/>
      <c r="AD177" s="672"/>
      <c r="AE177"/>
      <c r="AF177"/>
      <c r="AG177"/>
      <c r="AH177"/>
      <c r="AP177" s="412"/>
      <c r="AQ177" s="412"/>
      <c r="AR177" s="412"/>
      <c r="AS177" s="412"/>
      <c r="AT177" s="412"/>
      <c r="AU177" s="412"/>
      <c r="AV177" s="412"/>
      <c r="AW177" s="412"/>
      <c r="AX177" s="412"/>
      <c r="AY177" s="412"/>
      <c r="AZ177" s="412"/>
      <c r="BA177" s="412"/>
      <c r="BB177" s="412"/>
      <c r="BC177" s="412"/>
      <c r="BD177" s="412"/>
      <c r="BE177" s="412"/>
      <c r="BF177" s="412"/>
      <c r="BG177" s="412"/>
      <c r="BH177" s="412"/>
      <c r="BI177" s="412"/>
      <c r="BJ177" s="412"/>
      <c r="BK177" s="412"/>
      <c r="BL177" s="412"/>
      <c r="BM177" s="412"/>
      <c r="BN177" s="412"/>
      <c r="BO177" s="412"/>
      <c r="BP177" s="412"/>
      <c r="BQ177" s="412"/>
      <c r="BR177" s="412"/>
      <c r="BS177" s="412"/>
      <c r="BT177" s="412"/>
      <c r="BU177" s="412"/>
      <c r="BV177" s="412"/>
      <c r="BW177" s="412"/>
      <c r="BX177" s="412"/>
      <c r="BY177" s="412"/>
      <c r="BZ177" s="412"/>
      <c r="CA177" s="412"/>
      <c r="CB177" s="412"/>
      <c r="CC177" s="412"/>
      <c r="CD177" s="412"/>
      <c r="CE177" s="412"/>
      <c r="CF177" s="412"/>
      <c r="CG177" s="412"/>
      <c r="CH177" s="412"/>
      <c r="CI177" s="412"/>
      <c r="CJ177" s="412"/>
      <c r="CK177" s="412"/>
      <c r="CL177" s="412"/>
      <c r="CM177" s="412"/>
      <c r="CN177" s="412"/>
      <c r="CO177" s="412"/>
      <c r="CP177" s="412"/>
      <c r="CQ177" s="412"/>
      <c r="CR177" s="412"/>
      <c r="CS177" s="412"/>
      <c r="CT177" s="412"/>
      <c r="CU177" s="412"/>
      <c r="CV177" s="412"/>
      <c r="CW177" s="412"/>
      <c r="CX177" s="412"/>
      <c r="CY177" s="412"/>
    </row>
    <row r="178" spans="1:103" x14ac:dyDescent="0.2">
      <c r="A178" s="758" t="s">
        <v>2540</v>
      </c>
      <c r="B178" s="758" t="s">
        <v>3849</v>
      </c>
      <c r="C178" s="758" t="s">
        <v>3853</v>
      </c>
      <c r="D178" s="758"/>
      <c r="E178" s="758"/>
      <c r="F178" s="763">
        <v>25770</v>
      </c>
      <c r="G178" s="758"/>
      <c r="H178" s="758"/>
      <c r="I178" s="758">
        <v>5.2</v>
      </c>
      <c r="J178" s="672" t="s">
        <v>2500</v>
      </c>
      <c r="K178" s="758">
        <v>136</v>
      </c>
      <c r="L178" s="758"/>
      <c r="M178" s="758" t="s">
        <v>3573</v>
      </c>
      <c r="N178" s="758">
        <v>5</v>
      </c>
      <c r="O178" s="758">
        <v>85</v>
      </c>
      <c r="P178" s="758"/>
      <c r="Q178" s="758">
        <v>115</v>
      </c>
      <c r="R178" s="758"/>
      <c r="S178" s="758" t="s">
        <v>2785</v>
      </c>
      <c r="T178" s="758">
        <v>4234</v>
      </c>
      <c r="U178" s="758">
        <v>1992</v>
      </c>
      <c r="V178" s="758">
        <v>1573</v>
      </c>
      <c r="W178" s="758">
        <v>1395</v>
      </c>
      <c r="X178" s="758" t="s">
        <v>3865</v>
      </c>
      <c r="Y178" s="758" t="s">
        <v>3866</v>
      </c>
      <c r="Z178" s="758"/>
      <c r="AA178" s="758"/>
      <c r="AB178" s="758" t="s">
        <v>3871</v>
      </c>
      <c r="AC178" s="758"/>
      <c r="AD178" s="758"/>
    </row>
    <row r="179" spans="1:103" x14ac:dyDescent="0.2">
      <c r="A179" s="672" t="s">
        <v>2540</v>
      </c>
      <c r="B179" s="763" t="s">
        <v>2945</v>
      </c>
      <c r="C179" s="763" t="s">
        <v>2821</v>
      </c>
      <c r="D179" s="763"/>
      <c r="E179" s="763"/>
      <c r="F179" s="763">
        <v>30120</v>
      </c>
      <c r="G179" s="763"/>
      <c r="H179" s="763"/>
      <c r="I179" s="672">
        <v>5.2</v>
      </c>
      <c r="J179" s="672" t="s">
        <v>2500</v>
      </c>
      <c r="K179" s="672">
        <v>136</v>
      </c>
      <c r="L179" s="763"/>
      <c r="M179" s="763" t="s">
        <v>3573</v>
      </c>
      <c r="N179" s="672">
        <v>5</v>
      </c>
      <c r="O179" s="763">
        <v>85</v>
      </c>
      <c r="P179" s="763"/>
      <c r="Q179" s="763">
        <v>116</v>
      </c>
      <c r="R179" s="763"/>
      <c r="S179" s="763" t="s">
        <v>2762</v>
      </c>
      <c r="T179" s="758">
        <v>4351</v>
      </c>
      <c r="U179" s="758">
        <v>2050</v>
      </c>
      <c r="V179" s="763">
        <v>1613</v>
      </c>
      <c r="W179" s="763">
        <v>1440</v>
      </c>
      <c r="X179" s="763" t="s">
        <v>2831</v>
      </c>
      <c r="Y179" s="763" t="s">
        <v>3883</v>
      </c>
      <c r="Z179" s="763"/>
      <c r="AA179" s="763"/>
      <c r="AB179" s="763" t="s">
        <v>3149</v>
      </c>
      <c r="AC179" s="763" t="s">
        <v>2939</v>
      </c>
      <c r="AD179" s="763"/>
    </row>
    <row r="180" spans="1:103" x14ac:dyDescent="0.2">
      <c r="A180" s="758" t="s">
        <v>2540</v>
      </c>
      <c r="B180" s="758" t="s">
        <v>3261</v>
      </c>
      <c r="C180" s="758" t="s">
        <v>2831</v>
      </c>
      <c r="D180" s="672"/>
      <c r="E180" s="758"/>
      <c r="F180" s="763">
        <v>29390</v>
      </c>
      <c r="G180" s="672"/>
      <c r="H180" s="672"/>
      <c r="I180" s="672">
        <v>4.0999999999999996</v>
      </c>
      <c r="J180" s="759" t="s">
        <v>2823</v>
      </c>
      <c r="K180" s="672">
        <v>107</v>
      </c>
      <c r="L180" s="672"/>
      <c r="M180" s="672" t="s">
        <v>3573</v>
      </c>
      <c r="N180" s="672">
        <v>5</v>
      </c>
      <c r="O180" s="672">
        <v>85</v>
      </c>
      <c r="P180" s="672"/>
      <c r="Q180" s="672">
        <v>115</v>
      </c>
      <c r="R180" s="672"/>
      <c r="S180" s="672" t="s">
        <v>2785</v>
      </c>
      <c r="T180" s="758" t="s">
        <v>3912</v>
      </c>
      <c r="U180" s="758" t="s">
        <v>3928</v>
      </c>
      <c r="V180" s="758" t="s">
        <v>3943</v>
      </c>
      <c r="W180" s="758" t="s">
        <v>3958</v>
      </c>
      <c r="X180" s="672"/>
      <c r="Y180" s="672"/>
      <c r="Z180" s="672"/>
      <c r="AA180" s="672"/>
      <c r="AB180" s="672" t="s">
        <v>3789</v>
      </c>
      <c r="AC180" s="672"/>
      <c r="AD180" s="672"/>
    </row>
    <row r="181" spans="1:103" x14ac:dyDescent="0.2">
      <c r="A181" s="672" t="s">
        <v>2540</v>
      </c>
      <c r="B181" s="672" t="s">
        <v>2830</v>
      </c>
      <c r="C181" s="672" t="s">
        <v>2831</v>
      </c>
      <c r="D181" s="672"/>
      <c r="E181" s="672"/>
      <c r="F181" s="763">
        <v>36659</v>
      </c>
      <c r="G181" s="672"/>
      <c r="H181" s="672"/>
      <c r="I181" s="672">
        <v>4.7</v>
      </c>
      <c r="J181" s="672" t="s">
        <v>2823</v>
      </c>
      <c r="K181" s="672">
        <v>122</v>
      </c>
      <c r="L181" s="672"/>
      <c r="M181" s="672" t="s">
        <v>3573</v>
      </c>
      <c r="N181" s="672">
        <v>5</v>
      </c>
      <c r="O181" s="672">
        <v>110</v>
      </c>
      <c r="P181" s="672"/>
      <c r="Q181" s="672">
        <v>150</v>
      </c>
      <c r="R181" s="672"/>
      <c r="S181" s="672" t="s">
        <v>2785</v>
      </c>
      <c r="T181" s="672" t="s">
        <v>4000</v>
      </c>
      <c r="U181" s="758" t="s">
        <v>4011</v>
      </c>
      <c r="V181" s="758" t="s">
        <v>4024</v>
      </c>
      <c r="W181" s="672" t="s">
        <v>4037</v>
      </c>
      <c r="X181" s="672" t="s">
        <v>2821</v>
      </c>
      <c r="Y181" s="672" t="s">
        <v>3826</v>
      </c>
      <c r="Z181" s="672"/>
      <c r="AA181" s="672"/>
      <c r="AB181" s="672" t="s">
        <v>3709</v>
      </c>
      <c r="AC181" s="672"/>
      <c r="AD181" s="672"/>
    </row>
    <row r="182" spans="1:103" x14ac:dyDescent="0.2">
      <c r="A182" s="672" t="s">
        <v>2540</v>
      </c>
      <c r="B182" s="672" t="s">
        <v>3849</v>
      </c>
      <c r="C182" s="672" t="s">
        <v>3853</v>
      </c>
      <c r="D182" s="672"/>
      <c r="E182" s="672"/>
      <c r="F182" s="763">
        <v>25770</v>
      </c>
      <c r="G182" s="672"/>
      <c r="H182" s="672"/>
      <c r="I182" s="672">
        <v>5.2</v>
      </c>
      <c r="J182" s="672" t="s">
        <v>2823</v>
      </c>
      <c r="K182" s="672">
        <v>136</v>
      </c>
      <c r="L182" s="672"/>
      <c r="M182" s="672" t="s">
        <v>3573</v>
      </c>
      <c r="N182" s="672">
        <v>5</v>
      </c>
      <c r="O182" s="672">
        <v>85</v>
      </c>
      <c r="P182" s="672"/>
      <c r="Q182" s="672">
        <v>115</v>
      </c>
      <c r="R182" s="672"/>
      <c r="S182" s="672" t="s">
        <v>2785</v>
      </c>
      <c r="T182" s="672" t="s">
        <v>4064</v>
      </c>
      <c r="U182" s="672" t="s">
        <v>4074</v>
      </c>
      <c r="V182" s="672" t="s">
        <v>4086</v>
      </c>
      <c r="W182" s="672" t="s">
        <v>4029</v>
      </c>
      <c r="X182" s="672" t="s">
        <v>3865</v>
      </c>
      <c r="Y182" s="672" t="s">
        <v>3866</v>
      </c>
      <c r="Z182" s="672"/>
      <c r="AA182" s="672"/>
      <c r="AB182" s="672" t="s">
        <v>3871</v>
      </c>
      <c r="AC182" s="672"/>
      <c r="AD182" s="672"/>
    </row>
  </sheetData>
  <sortState ref="A2:AD182">
    <sortCondition ref="A2"/>
  </sortState>
  <pageMargins left="0.70866141732283472" right="0.70866141732283472" top="0.78740157480314965" bottom="0.78740157480314965" header="0.31496062992125984" footer="0.31496062992125984"/>
  <pageSetup paperSize="9"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22"/>
  </sheetPr>
  <dimension ref="A3:L117"/>
  <sheetViews>
    <sheetView showRowColHeaders="0" zoomScaleNormal="100" zoomScaleSheetLayoutView="90" workbookViewId="0">
      <selection activeCell="A6" sqref="A6:I6"/>
    </sheetView>
  </sheetViews>
  <sheetFormatPr baseColWidth="10" defaultColWidth="10.75" defaultRowHeight="12.9" x14ac:dyDescent="0.2"/>
  <cols>
    <col min="1" max="16384" width="10.75" style="53"/>
  </cols>
  <sheetData>
    <row r="3" spans="1:10" ht="5.95" customHeight="1" x14ac:dyDescent="0.2"/>
    <row r="4" spans="1:10" ht="5.95" customHeight="1" x14ac:dyDescent="0.2"/>
    <row r="5" spans="1:10" ht="18.350000000000001" x14ac:dyDescent="0.3">
      <c r="A5" s="673"/>
      <c r="B5" s="673"/>
      <c r="C5" s="673"/>
      <c r="D5" s="673"/>
      <c r="E5" s="673"/>
      <c r="F5" s="673"/>
      <c r="G5" s="673"/>
      <c r="H5" s="673"/>
      <c r="I5" s="673"/>
      <c r="J5" s="113"/>
    </row>
    <row r="6" spans="1:10" ht="15.65" x14ac:dyDescent="0.25">
      <c r="A6" s="674"/>
      <c r="B6" s="675"/>
      <c r="C6" s="675"/>
      <c r="D6" s="675"/>
      <c r="E6" s="675"/>
      <c r="F6" s="675"/>
      <c r="G6" s="675"/>
      <c r="H6" s="675"/>
      <c r="I6" s="675"/>
    </row>
    <row r="14" spans="1:10" ht="13.6" x14ac:dyDescent="0.25">
      <c r="B14" s="15"/>
      <c r="E14" s="3"/>
      <c r="F14" s="14"/>
      <c r="G14" s="3"/>
      <c r="H14" s="3"/>
    </row>
    <row r="15" spans="1:10" x14ac:dyDescent="0.2">
      <c r="E15" s="3"/>
      <c r="F15" s="14"/>
      <c r="G15" s="3"/>
      <c r="H15" s="3"/>
    </row>
    <row r="16" spans="1:10" x14ac:dyDescent="0.2">
      <c r="E16" s="3"/>
      <c r="F16" s="14"/>
      <c r="G16" s="3"/>
      <c r="H16" s="3"/>
    </row>
    <row r="17" spans="1:11" x14ac:dyDescent="0.2">
      <c r="E17" s="3"/>
      <c r="F17" s="14"/>
      <c r="G17" s="3"/>
      <c r="H17" s="3"/>
    </row>
    <row r="18" spans="1:11" x14ac:dyDescent="0.2">
      <c r="E18" s="3"/>
      <c r="F18" s="14"/>
      <c r="G18" s="3"/>
      <c r="H18" s="3"/>
    </row>
    <row r="20" spans="1:11" ht="14.3" x14ac:dyDescent="0.25">
      <c r="A20" s="125"/>
      <c r="B20" s="125"/>
      <c r="C20" s="125"/>
      <c r="D20" s="128"/>
      <c r="E20" s="126"/>
      <c r="F20" s="126"/>
      <c r="G20" s="126"/>
      <c r="H20" s="126"/>
    </row>
    <row r="21" spans="1:11" ht="14.3" x14ac:dyDescent="0.25">
      <c r="A21" s="126"/>
      <c r="B21" s="57"/>
      <c r="C21" s="125"/>
      <c r="D21" s="125"/>
      <c r="E21" s="126"/>
      <c r="F21" s="127"/>
      <c r="G21" s="126"/>
      <c r="H21" s="126"/>
      <c r="I21" s="14"/>
      <c r="J21" s="14"/>
      <c r="K21" s="3"/>
    </row>
    <row r="22" spans="1:11" ht="14.3" x14ac:dyDescent="0.25">
      <c r="A22" s="125"/>
      <c r="B22" s="676"/>
      <c r="C22" s="677"/>
      <c r="D22" s="677"/>
      <c r="E22" s="677"/>
      <c r="F22" s="129"/>
      <c r="G22" s="125"/>
      <c r="H22" s="125"/>
      <c r="I22" s="130"/>
      <c r="J22" s="14"/>
      <c r="K22" s="3"/>
    </row>
    <row r="23" spans="1:11" ht="14.3" x14ac:dyDescent="0.25">
      <c r="A23" s="125"/>
      <c r="B23" s="678"/>
      <c r="C23" s="677"/>
      <c r="D23" s="677"/>
      <c r="E23" s="677"/>
      <c r="F23" s="677"/>
      <c r="G23" s="677"/>
      <c r="H23" s="677"/>
      <c r="I23" s="130"/>
      <c r="J23" s="14"/>
      <c r="K23" s="3"/>
    </row>
    <row r="24" spans="1:11" x14ac:dyDescent="0.2">
      <c r="I24" s="14"/>
      <c r="J24" s="14"/>
      <c r="K24" s="3"/>
    </row>
    <row r="25" spans="1:11" x14ac:dyDescent="0.2">
      <c r="I25" s="14"/>
      <c r="J25" s="14"/>
      <c r="K25" s="3"/>
    </row>
    <row r="26" spans="1:11" x14ac:dyDescent="0.2">
      <c r="I26" s="14"/>
      <c r="J26" s="14"/>
      <c r="K26" s="3"/>
    </row>
    <row r="27" spans="1:11" ht="13.6" x14ac:dyDescent="0.25">
      <c r="B27" s="15"/>
      <c r="I27" s="14"/>
      <c r="J27" s="14"/>
      <c r="K27" s="3"/>
    </row>
    <row r="28" spans="1:11" x14ac:dyDescent="0.2">
      <c r="B28" s="58"/>
      <c r="I28" s="14"/>
      <c r="J28" s="14"/>
      <c r="K28" s="3"/>
    </row>
    <row r="29" spans="1:11" x14ac:dyDescent="0.2">
      <c r="I29" s="14"/>
      <c r="J29" s="14"/>
      <c r="K29" s="3"/>
    </row>
    <row r="33" spans="2:12" ht="13.6" x14ac:dyDescent="0.25">
      <c r="K33" s="15"/>
      <c r="L33" s="3"/>
    </row>
    <row r="34" spans="2:12" x14ac:dyDescent="0.2">
      <c r="B34" s="58"/>
      <c r="K34" s="3"/>
      <c r="L34" s="3"/>
    </row>
    <row r="35" spans="2:12" x14ac:dyDescent="0.2">
      <c r="K35" s="3"/>
      <c r="L35" s="3"/>
    </row>
    <row r="36" spans="2:12" x14ac:dyDescent="0.2">
      <c r="K36" s="3"/>
      <c r="L36" s="3"/>
    </row>
    <row r="37" spans="2:12" x14ac:dyDescent="0.2">
      <c r="K37" s="3"/>
      <c r="L37" s="3"/>
    </row>
    <row r="38" spans="2:12" x14ac:dyDescent="0.2">
      <c r="K38" s="3"/>
      <c r="L38" s="3"/>
    </row>
    <row r="40" spans="2:12" x14ac:dyDescent="0.2">
      <c r="B40" s="58"/>
    </row>
    <row r="69" spans="2:2" x14ac:dyDescent="0.2">
      <c r="B69" s="58"/>
    </row>
    <row r="79" spans="2:2" x14ac:dyDescent="0.2">
      <c r="B79" s="58"/>
    </row>
    <row r="82" spans="2:11" ht="13.6" x14ac:dyDescent="0.25">
      <c r="B82" s="15"/>
    </row>
    <row r="88" spans="2:11" ht="13.6" x14ac:dyDescent="0.25">
      <c r="B88" s="15"/>
    </row>
    <row r="89" spans="2:11" ht="13.6" x14ac:dyDescent="0.25">
      <c r="C89" s="55"/>
      <c r="K89" s="15"/>
    </row>
    <row r="90" spans="2:11" x14ac:dyDescent="0.2">
      <c r="C90" s="55"/>
    </row>
    <row r="91" spans="2:11" x14ac:dyDescent="0.2">
      <c r="D91" s="56"/>
      <c r="F91" s="57"/>
      <c r="K91" s="54"/>
    </row>
    <row r="92" spans="2:11" x14ac:dyDescent="0.2">
      <c r="D92" s="56"/>
      <c r="F92" s="57"/>
    </row>
    <row r="94" spans="2:11" x14ac:dyDescent="0.2">
      <c r="K94" s="54"/>
    </row>
    <row r="117" spans="1:1" x14ac:dyDescent="0.2">
      <c r="A117" s="82"/>
    </row>
  </sheetData>
  <sheetProtection selectLockedCells="1"/>
  <mergeCells count="4">
    <mergeCell ref="A5:I5"/>
    <mergeCell ref="A6:I6"/>
    <mergeCell ref="B22:E22"/>
    <mergeCell ref="B23:H23"/>
  </mergeCells>
  <phoneticPr fontId="2" type="noConversion"/>
  <printOptions horizontalCentered="1"/>
  <pageMargins left="0.39370078740157483" right="0.39370078740157483" top="0.39370078740157483" bottom="0.78740157480314965" header="0.39370078740157483" footer="0.39370078740157483"/>
  <pageSetup paperSize="9" scale="95" orientation="portrait" r:id="rId1"/>
  <headerFooter alignWithMargins="0">
    <oddFooter>&amp;LPV-TOOL für private Nutzer - Benutzerhinweise&amp;RSeite &amp;P von &amp;N</oddFooter>
  </headerFooter>
  <rowBreaks count="3" manualBreakCount="3">
    <brk id="57" max="8" man="1"/>
    <brk id="113" max="8" man="1"/>
    <brk id="173"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0963F"/>
  </sheetPr>
  <dimension ref="A1:BC366"/>
  <sheetViews>
    <sheetView tabSelected="1" zoomScale="90" zoomScaleNormal="90" zoomScaleSheetLayoutView="100" zoomScalePageLayoutView="35" workbookViewId="0">
      <selection activeCell="G7" sqref="G7"/>
    </sheetView>
  </sheetViews>
  <sheetFormatPr baseColWidth="10" defaultColWidth="11.375" defaultRowHeight="12.9" x14ac:dyDescent="0.2"/>
  <cols>
    <col min="1" max="2" width="0.625" style="1" customWidth="1"/>
    <col min="3" max="3" width="11" style="1" customWidth="1"/>
    <col min="4" max="4" width="26.875" style="1" customWidth="1"/>
    <col min="5" max="6" width="0.625" style="1" customWidth="1"/>
    <col min="7" max="7" width="11.125" style="1" customWidth="1"/>
    <col min="8" max="8" width="7" style="1" customWidth="1"/>
    <col min="9" max="9" width="11.125" style="1" customWidth="1"/>
    <col min="10" max="10" width="6.75" style="1" customWidth="1"/>
    <col min="11" max="12" width="0.625" style="1" customWidth="1"/>
    <col min="13" max="13" width="11.25" style="1" customWidth="1"/>
    <col min="14" max="14" width="8.875" style="7" customWidth="1"/>
    <col min="15" max="15" width="0.625" style="7" customWidth="1"/>
    <col min="16" max="16" width="0.625" style="1" customWidth="1"/>
    <col min="17" max="17" width="10.875" style="1" customWidth="1"/>
    <col min="18" max="18" width="6.25" style="1" customWidth="1"/>
    <col min="19" max="19" width="0.625" style="1" customWidth="1"/>
    <col min="20" max="20" width="1.125" style="1" customWidth="1"/>
    <col min="21" max="21" width="0.75" style="1" customWidth="1"/>
    <col min="22" max="22" width="10.25" style="7" customWidth="1"/>
    <col min="23" max="28" width="10.25" style="1" customWidth="1"/>
    <col min="29" max="29" width="0.625" style="1" customWidth="1"/>
    <col min="30" max="30" width="8.75" style="198" customWidth="1"/>
    <col min="31" max="31" width="28.75" style="198" bestFit="1" customWidth="1"/>
    <col min="32" max="32" width="14.625" style="198" bestFit="1" customWidth="1"/>
    <col min="33" max="33" width="16.75" style="198" bestFit="1" customWidth="1"/>
    <col min="34" max="34" width="14.625" style="198" bestFit="1" customWidth="1"/>
    <col min="35" max="35" width="16.75" style="198" bestFit="1" customWidth="1"/>
    <col min="36" max="36" width="14.625" style="198" bestFit="1" customWidth="1"/>
    <col min="37" max="37" width="16.75" style="198" bestFit="1" customWidth="1"/>
    <col min="38" max="38" width="19.625" style="198" bestFit="1" customWidth="1"/>
    <col min="39" max="39" width="16.25" style="198" customWidth="1"/>
    <col min="40" max="55" width="11.375" style="198"/>
    <col min="56" max="16384" width="11.375" style="1"/>
  </cols>
  <sheetData>
    <row r="1" spans="1:55" ht="12.75" customHeight="1" x14ac:dyDescent="0.2">
      <c r="B1" s="122"/>
      <c r="C1" s="700"/>
      <c r="D1" s="700"/>
      <c r="E1" s="700"/>
      <c r="F1" s="700"/>
      <c r="G1" s="700"/>
      <c r="H1" s="700"/>
      <c r="I1" s="700"/>
      <c r="J1" s="547"/>
      <c r="K1" s="446"/>
      <c r="L1" s="446"/>
      <c r="M1" s="122"/>
      <c r="N1" s="274"/>
      <c r="O1" s="274"/>
      <c r="P1" s="122"/>
      <c r="Q1" s="122"/>
      <c r="R1" s="122"/>
      <c r="S1" s="122"/>
      <c r="T1" s="122"/>
      <c r="U1" s="122"/>
      <c r="V1" s="274"/>
      <c r="W1" s="122"/>
      <c r="X1" s="122"/>
      <c r="Y1" s="122"/>
      <c r="Z1" s="122"/>
      <c r="AA1" s="122"/>
      <c r="AB1" s="122"/>
      <c r="AC1" s="120"/>
      <c r="AD1" s="115"/>
      <c r="AE1" s="115"/>
      <c r="AF1" s="115"/>
      <c r="AG1" s="115"/>
      <c r="AH1" s="115"/>
      <c r="AI1" s="115"/>
      <c r="AJ1" s="115"/>
      <c r="AK1" s="115" t="s">
        <v>2873</v>
      </c>
      <c r="AL1" s="115">
        <v>25000</v>
      </c>
      <c r="AM1" s="529">
        <f>M29*0.015</f>
        <v>404.84999999999997</v>
      </c>
      <c r="AN1" s="529">
        <f>20.68/100*AM1</f>
        <v>83.722979999999993</v>
      </c>
      <c r="AO1" s="529">
        <f>AM1*AQ9/100</f>
        <v>141.69749999999999</v>
      </c>
      <c r="AP1" s="530">
        <f>SUM(AN1:AO1)</f>
        <v>225.42048</v>
      </c>
    </row>
    <row r="2" spans="1:55" s="53" customFormat="1" ht="61.5" customHeight="1" x14ac:dyDescent="0.75">
      <c r="A2" s="197"/>
      <c r="B2" s="693" t="s">
        <v>3893</v>
      </c>
      <c r="C2" s="693"/>
      <c r="D2" s="693"/>
      <c r="E2" s="693"/>
      <c r="F2" s="693"/>
      <c r="G2" s="693"/>
      <c r="H2" s="693"/>
      <c r="I2" s="693"/>
      <c r="J2" s="693"/>
      <c r="K2" s="693"/>
      <c r="L2" s="693"/>
      <c r="M2" s="693"/>
      <c r="N2" s="693"/>
      <c r="O2" s="693"/>
      <c r="P2" s="693"/>
      <c r="Q2" s="693"/>
      <c r="R2" s="456"/>
      <c r="S2" s="456"/>
      <c r="T2" s="456"/>
      <c r="U2" s="456"/>
      <c r="V2" s="456"/>
      <c r="W2" s="456"/>
      <c r="X2" s="456"/>
      <c r="Y2" s="456"/>
      <c r="Z2" s="456"/>
      <c r="AA2" s="456"/>
      <c r="AB2" s="456"/>
      <c r="AC2" s="119"/>
      <c r="AD2" s="556"/>
      <c r="AE2" s="114"/>
      <c r="AF2" s="114"/>
      <c r="AG2" s="114"/>
      <c r="AH2" s="114"/>
      <c r="AI2" s="114"/>
      <c r="AJ2" s="114"/>
      <c r="AK2" s="114"/>
      <c r="AL2" s="116" t="s">
        <v>2869</v>
      </c>
      <c r="AM2" s="116" t="s">
        <v>2868</v>
      </c>
      <c r="AN2" s="531"/>
      <c r="AO2" s="114" t="s">
        <v>2871</v>
      </c>
      <c r="AP2" s="114" t="s">
        <v>2872</v>
      </c>
      <c r="AQ2" s="114"/>
      <c r="AR2" s="136"/>
      <c r="AS2" s="136"/>
      <c r="AT2" s="136"/>
      <c r="AU2" s="136"/>
      <c r="AV2" s="136"/>
      <c r="AW2" s="136"/>
      <c r="AX2" s="136"/>
      <c r="AY2" s="136"/>
      <c r="AZ2" s="136"/>
      <c r="BA2" s="136"/>
      <c r="BB2" s="136"/>
      <c r="BC2" s="136"/>
    </row>
    <row r="3" spans="1:55" ht="12.75" customHeight="1" x14ac:dyDescent="0.2">
      <c r="Y3" s="95"/>
      <c r="AC3" s="120"/>
      <c r="AD3" s="115"/>
      <c r="AE3" s="115"/>
      <c r="AF3" s="115"/>
      <c r="AG3" s="115"/>
      <c r="AH3" s="115"/>
      <c r="AI3" s="115"/>
      <c r="AJ3" s="115"/>
      <c r="AK3" s="115"/>
      <c r="AL3" s="546">
        <v>2016</v>
      </c>
      <c r="AM3" s="546">
        <v>130</v>
      </c>
      <c r="AN3" s="115"/>
      <c r="AO3" s="115">
        <v>11000</v>
      </c>
      <c r="AP3" s="115">
        <v>0</v>
      </c>
      <c r="AQ3" s="115"/>
    </row>
    <row r="4" spans="1:55" ht="18" customHeight="1" x14ac:dyDescent="0.3">
      <c r="B4" s="243"/>
      <c r="C4" s="244" t="s">
        <v>2511</v>
      </c>
      <c r="D4" s="244"/>
      <c r="E4" s="244"/>
      <c r="F4" s="244"/>
      <c r="G4" s="245"/>
      <c r="H4" s="245"/>
      <c r="I4" s="245"/>
      <c r="J4" s="245"/>
      <c r="K4" s="245"/>
      <c r="L4" s="245"/>
      <c r="M4" s="245"/>
      <c r="N4" s="246"/>
      <c r="O4" s="246"/>
      <c r="P4" s="246"/>
      <c r="Q4" s="246"/>
      <c r="R4" s="246"/>
      <c r="S4" s="247"/>
      <c r="U4" s="243"/>
      <c r="V4" s="244" t="s">
        <v>2968</v>
      </c>
      <c r="W4" s="245"/>
      <c r="X4" s="245"/>
      <c r="Y4" s="245"/>
      <c r="Z4" s="245"/>
      <c r="AA4" s="246"/>
      <c r="AB4" s="247"/>
      <c r="AC4" s="120"/>
      <c r="AD4" s="115"/>
      <c r="AE4" s="115"/>
      <c r="AF4" s="115"/>
      <c r="AG4" s="115"/>
      <c r="AH4" s="115"/>
      <c r="AI4" s="115"/>
      <c r="AJ4" s="115"/>
      <c r="AK4" s="115"/>
      <c r="AL4" s="546">
        <v>2017</v>
      </c>
      <c r="AM4" s="546">
        <v>127</v>
      </c>
      <c r="AN4" s="115"/>
      <c r="AO4" s="115">
        <v>18000</v>
      </c>
      <c r="AP4" s="115">
        <v>25</v>
      </c>
      <c r="AQ4" s="115"/>
    </row>
    <row r="5" spans="1:55" ht="7.5" customHeight="1" x14ac:dyDescent="0.25">
      <c r="B5" s="248"/>
      <c r="C5" s="249"/>
      <c r="D5" s="249"/>
      <c r="E5" s="249"/>
      <c r="F5" s="249"/>
      <c r="G5" s="249"/>
      <c r="H5" s="249"/>
      <c r="I5" s="249"/>
      <c r="J5" s="249"/>
      <c r="K5" s="249"/>
      <c r="L5" s="249"/>
      <c r="M5" s="249"/>
      <c r="N5" s="250"/>
      <c r="O5" s="250"/>
      <c r="P5" s="250"/>
      <c r="Q5" s="251"/>
      <c r="R5" s="251"/>
      <c r="S5" s="252"/>
      <c r="U5" s="414"/>
      <c r="V5" s="415"/>
      <c r="W5" s="415"/>
      <c r="X5" s="415"/>
      <c r="Y5" s="415"/>
      <c r="Z5" s="415"/>
      <c r="AA5" s="415"/>
      <c r="AB5" s="416"/>
      <c r="AC5" s="120"/>
      <c r="AD5" s="115"/>
      <c r="AE5" s="115"/>
      <c r="AF5" s="115"/>
      <c r="AG5" s="115"/>
      <c r="AH5" s="115"/>
      <c r="AI5" s="115"/>
      <c r="AJ5" s="115"/>
      <c r="AK5" s="115"/>
      <c r="AL5" s="546">
        <v>2018</v>
      </c>
      <c r="AM5" s="546">
        <v>124</v>
      </c>
      <c r="AN5" s="115"/>
      <c r="AO5" s="115">
        <v>31000</v>
      </c>
      <c r="AP5" s="115">
        <v>35</v>
      </c>
      <c r="AQ5" s="115"/>
    </row>
    <row r="6" spans="1:55" ht="12.75" customHeight="1" x14ac:dyDescent="0.25">
      <c r="B6" s="253"/>
      <c r="C6" s="144" t="s">
        <v>2855</v>
      </c>
      <c r="D6" s="144"/>
      <c r="E6" s="144"/>
      <c r="F6" s="144"/>
      <c r="G6" s="147"/>
      <c r="H6" s="147"/>
      <c r="I6" s="147"/>
      <c r="J6" s="147"/>
      <c r="K6" s="147"/>
      <c r="L6" s="147"/>
      <c r="M6" s="147"/>
      <c r="N6" s="159"/>
      <c r="O6" s="159"/>
      <c r="P6" s="159"/>
      <c r="Q6" s="140"/>
      <c r="R6" s="140"/>
      <c r="S6" s="254"/>
      <c r="U6" s="280"/>
      <c r="V6" s="714" t="s">
        <v>3382</v>
      </c>
      <c r="W6" s="714"/>
      <c r="X6" s="714"/>
      <c r="Y6" s="714"/>
      <c r="Z6" s="714"/>
      <c r="AA6" s="714"/>
      <c r="AB6" s="714"/>
      <c r="AC6" s="120"/>
      <c r="AD6" s="115"/>
      <c r="AE6" s="115"/>
      <c r="AF6" s="115"/>
      <c r="AG6" s="115"/>
      <c r="AH6" s="115"/>
      <c r="AI6" s="115"/>
      <c r="AJ6" s="115"/>
      <c r="AK6" s="115"/>
      <c r="AL6" s="546">
        <v>2019</v>
      </c>
      <c r="AM6" s="546">
        <v>121</v>
      </c>
      <c r="AN6" s="115"/>
      <c r="AO6" s="115">
        <v>60000</v>
      </c>
      <c r="AP6" s="115">
        <v>42</v>
      </c>
      <c r="AQ6" s="115"/>
    </row>
    <row r="7" spans="1:55" ht="12.75" customHeight="1" x14ac:dyDescent="0.25">
      <c r="B7" s="253"/>
      <c r="C7" s="138"/>
      <c r="D7" s="138" t="s">
        <v>2513</v>
      </c>
      <c r="E7" s="138"/>
      <c r="F7" s="138"/>
      <c r="G7" s="549">
        <v>14000</v>
      </c>
      <c r="H7" s="142" t="s">
        <v>2518</v>
      </c>
      <c r="I7" s="142"/>
      <c r="J7" s="142"/>
      <c r="K7" s="142"/>
      <c r="L7" s="142"/>
      <c r="M7" s="457"/>
      <c r="N7" s="467" t="s">
        <v>2863</v>
      </c>
      <c r="O7" s="467"/>
      <c r="P7" s="468"/>
      <c r="Q7" s="469">
        <v>12</v>
      </c>
      <c r="R7" s="468" t="s">
        <v>2834</v>
      </c>
      <c r="S7" s="254"/>
      <c r="U7" s="280"/>
      <c r="V7" s="714"/>
      <c r="W7" s="714"/>
      <c r="X7" s="714"/>
      <c r="Y7" s="714"/>
      <c r="Z7" s="714"/>
      <c r="AA7" s="714"/>
      <c r="AB7" s="714"/>
      <c r="AC7" s="553"/>
      <c r="AD7" s="554"/>
      <c r="AE7" s="554"/>
      <c r="AF7" s="115"/>
      <c r="AG7" s="115"/>
      <c r="AH7" s="115"/>
      <c r="AI7" s="115"/>
      <c r="AJ7" s="115"/>
      <c r="AK7" s="115"/>
      <c r="AL7" s="546">
        <v>2020</v>
      </c>
      <c r="AM7" s="546">
        <v>118</v>
      </c>
      <c r="AN7" s="115"/>
      <c r="AO7" s="115">
        <v>90000</v>
      </c>
      <c r="AP7" s="115">
        <v>48</v>
      </c>
      <c r="AQ7" s="115"/>
    </row>
    <row r="8" spans="1:55" ht="12.75" customHeight="1" x14ac:dyDescent="0.25">
      <c r="B8" s="262"/>
      <c r="C8" s="138"/>
      <c r="D8" s="138" t="str">
        <f>IF(G8="privat","Nutzung (Privater Investor):",IF(G8="betrieblich","Nutzung (Betrieb ist Investor):",IF(G8="betrieblich + privat (&lt;6000km/a):","Nutzung (Betrieb ist Investor):","Nutzung (Betrieb ist Investor):")))</f>
        <v>Nutzung (Privater Investor):</v>
      </c>
      <c r="E8" s="138"/>
      <c r="F8" s="147"/>
      <c r="G8" s="709" t="s">
        <v>2960</v>
      </c>
      <c r="H8" s="710"/>
      <c r="I8" s="710"/>
      <c r="J8" s="711"/>
      <c r="K8" s="147"/>
      <c r="L8" s="147"/>
      <c r="M8" s="147"/>
      <c r="N8" s="159"/>
      <c r="O8" s="159"/>
      <c r="P8" s="159"/>
      <c r="Q8" s="140"/>
      <c r="R8" s="140"/>
      <c r="S8" s="254"/>
      <c r="U8" s="280"/>
      <c r="V8" s="714"/>
      <c r="W8" s="714"/>
      <c r="X8" s="714"/>
      <c r="Y8" s="714"/>
      <c r="Z8" s="714"/>
      <c r="AA8" s="714"/>
      <c r="AB8" s="714"/>
      <c r="AC8" s="120"/>
      <c r="AD8" s="115"/>
      <c r="AE8" s="115" t="s">
        <v>2550</v>
      </c>
      <c r="AF8" s="529">
        <f>Q7</f>
        <v>12</v>
      </c>
      <c r="AG8" s="115"/>
      <c r="AH8" s="115"/>
      <c r="AI8" s="115"/>
      <c r="AJ8" s="115"/>
      <c r="AK8" s="115"/>
      <c r="AL8" s="115"/>
      <c r="AM8" s="115"/>
      <c r="AN8" s="115"/>
      <c r="AO8" s="115">
        <v>1000000</v>
      </c>
      <c r="AP8" s="115">
        <v>50</v>
      </c>
      <c r="AQ8" s="115"/>
    </row>
    <row r="9" spans="1:55" ht="12.75" customHeight="1" x14ac:dyDescent="0.25">
      <c r="B9" s="262"/>
      <c r="C9" s="138"/>
      <c r="D9" s="147"/>
      <c r="E9" s="147"/>
      <c r="F9" s="147"/>
      <c r="G9" s="147"/>
      <c r="H9" s="147"/>
      <c r="I9" s="147"/>
      <c r="J9" s="147"/>
      <c r="K9" s="147"/>
      <c r="L9" s="147"/>
      <c r="M9" s="147"/>
      <c r="N9" s="159"/>
      <c r="O9" s="159"/>
      <c r="P9" s="159"/>
      <c r="Q9" s="140"/>
      <c r="R9" s="140"/>
      <c r="S9" s="254"/>
      <c r="U9" s="280"/>
      <c r="V9" s="714"/>
      <c r="W9" s="714"/>
      <c r="X9" s="714"/>
      <c r="Y9" s="714"/>
      <c r="Z9" s="714"/>
      <c r="AA9" s="714"/>
      <c r="AB9" s="714"/>
      <c r="AC9" s="120"/>
      <c r="AD9" s="115"/>
      <c r="AE9" s="532"/>
      <c r="AF9" s="532" t="s">
        <v>2549</v>
      </c>
      <c r="AG9" s="532"/>
      <c r="AH9" s="115"/>
      <c r="AI9" s="115"/>
      <c r="AJ9" s="115"/>
      <c r="AK9" s="115"/>
      <c r="AL9" s="115"/>
      <c r="AM9" s="115"/>
      <c r="AN9" s="115"/>
      <c r="AO9" s="115" t="s">
        <v>2870</v>
      </c>
      <c r="AP9" s="115">
        <v>55</v>
      </c>
      <c r="AQ9" s="115">
        <f>IF(AL1&lt;AO3,AP3,IF(AL1&lt;AO4,AP4,IF(AL1&lt;AO5,AP5,IF(AL1&lt;AO6,AP6,IF(AL1&lt;AO7,AP7,IF(AL1&lt;AO8,AP8,AP9))))))</f>
        <v>35</v>
      </c>
    </row>
    <row r="10" spans="1:55" ht="12.75" customHeight="1" x14ac:dyDescent="0.25">
      <c r="B10" s="255"/>
      <c r="C10" s="144" t="s">
        <v>2856</v>
      </c>
      <c r="D10" s="447"/>
      <c r="E10" s="144"/>
      <c r="F10" s="701" t="s">
        <v>2507</v>
      </c>
      <c r="G10" s="702"/>
      <c r="H10" s="702"/>
      <c r="I10" s="702"/>
      <c r="J10" s="702"/>
      <c r="K10" s="703"/>
      <c r="L10" s="701" t="s">
        <v>2561</v>
      </c>
      <c r="M10" s="702"/>
      <c r="N10" s="702"/>
      <c r="O10" s="703"/>
      <c r="P10" s="215"/>
      <c r="Q10" s="140"/>
      <c r="R10" s="140"/>
      <c r="S10" s="254"/>
      <c r="U10" s="280"/>
      <c r="V10" s="714"/>
      <c r="W10" s="714"/>
      <c r="X10" s="714"/>
      <c r="Y10" s="714"/>
      <c r="Z10" s="714"/>
      <c r="AA10" s="714"/>
      <c r="AB10" s="714"/>
      <c r="AC10" s="120"/>
      <c r="AD10" s="115"/>
      <c r="AE10" s="532" t="str">
        <f>IF(VLOOKUP($G$12,'Daten-Elektrofahrzeug'!C22:M269,'Daten-Elektrofahrzeug'!K5,FALSE)="","ja",IF(VLOOKUP($G$12,'Daten-Elektrofahrzeug'!C22:M269,'Daten-Elektrofahrzeug'!L5,FALSE)="","nein",H13))</f>
        <v>ja</v>
      </c>
      <c r="AF10" s="532"/>
      <c r="AG10" s="532"/>
      <c r="AH10" s="115"/>
      <c r="AI10" s="115"/>
      <c r="AJ10" s="115"/>
      <c r="AK10" s="115"/>
      <c r="AL10" s="115"/>
      <c r="AM10" s="115"/>
      <c r="AN10" s="115"/>
      <c r="AO10" s="115"/>
      <c r="AP10" s="115"/>
    </row>
    <row r="11" spans="1:55" ht="7.5" customHeight="1" x14ac:dyDescent="0.25">
      <c r="B11" s="255"/>
      <c r="C11" s="220"/>
      <c r="D11" s="220"/>
      <c r="E11" s="220"/>
      <c r="F11" s="336"/>
      <c r="G11" s="340"/>
      <c r="H11" s="340"/>
      <c r="I11" s="340"/>
      <c r="J11" s="340"/>
      <c r="K11" s="341"/>
      <c r="L11" s="261"/>
      <c r="M11" s="220"/>
      <c r="N11" s="220"/>
      <c r="O11" s="558" t="s">
        <v>2965</v>
      </c>
      <c r="P11" s="215"/>
      <c r="Q11" s="140"/>
      <c r="R11" s="140"/>
      <c r="S11" s="254"/>
      <c r="U11" s="280"/>
      <c r="V11" s="714"/>
      <c r="W11" s="714"/>
      <c r="X11" s="714"/>
      <c r="Y11" s="714"/>
      <c r="Z11" s="714"/>
      <c r="AA11" s="714"/>
      <c r="AB11" s="714"/>
      <c r="AC11" s="120"/>
      <c r="AD11" s="115"/>
      <c r="AE11" s="532" t="s">
        <v>799</v>
      </c>
      <c r="AF11" s="533">
        <f>M29/AF8</f>
        <v>2249.1666666666665</v>
      </c>
      <c r="AG11" s="534">
        <f>AF11/$AF$16</f>
        <v>0.57536884148556433</v>
      </c>
      <c r="AH11" s="115"/>
      <c r="AI11" s="115"/>
      <c r="AJ11" s="115"/>
      <c r="AK11" s="115"/>
      <c r="AL11" s="115"/>
      <c r="AM11" s="115"/>
      <c r="AN11" s="115"/>
      <c r="AO11" s="115"/>
    </row>
    <row r="12" spans="1:55" ht="12.75" customHeight="1" x14ac:dyDescent="0.25">
      <c r="B12" s="255"/>
      <c r="C12" s="137"/>
      <c r="D12" s="137" t="str">
        <f>IF(H137="","Neuwagen (inkl.Akku):","Neuwagen:")</f>
        <v>Neuwagen (inkl.Akku):</v>
      </c>
      <c r="E12" s="137"/>
      <c r="F12" s="337"/>
      <c r="G12" s="765" t="s">
        <v>4100</v>
      </c>
      <c r="H12" s="766"/>
      <c r="I12" s="766"/>
      <c r="J12" s="767"/>
      <c r="K12" s="342"/>
      <c r="L12" s="266"/>
      <c r="M12" s="705" t="s">
        <v>4099</v>
      </c>
      <c r="N12" s="706"/>
      <c r="O12" s="264"/>
      <c r="P12" s="159"/>
      <c r="Q12" s="718"/>
      <c r="R12" s="718"/>
      <c r="S12" s="719"/>
      <c r="U12" s="280"/>
      <c r="V12" s="714"/>
      <c r="W12" s="714"/>
      <c r="X12" s="714"/>
      <c r="Y12" s="714"/>
      <c r="Z12" s="714"/>
      <c r="AA12" s="714"/>
      <c r="AB12" s="714"/>
      <c r="AC12" s="120"/>
      <c r="AD12" s="115"/>
      <c r="AE12" s="532" t="s">
        <v>2546</v>
      </c>
      <c r="AF12" s="533">
        <f>M31/10</f>
        <v>0</v>
      </c>
      <c r="AG12" s="534">
        <f>AF12/$AF$16</f>
        <v>0</v>
      </c>
      <c r="AH12" s="115"/>
      <c r="AI12" s="115"/>
      <c r="AJ12" s="115"/>
      <c r="AK12" s="115"/>
      <c r="AL12" s="115"/>
      <c r="AM12" s="115"/>
      <c r="AN12" s="115"/>
      <c r="AO12" s="115"/>
    </row>
    <row r="13" spans="1:55" ht="12.75" customHeight="1" x14ac:dyDescent="0.25">
      <c r="B13" s="253"/>
      <c r="C13" s="147"/>
      <c r="D13" s="147" t="s">
        <v>3120</v>
      </c>
      <c r="E13" s="147"/>
      <c r="F13" s="338"/>
      <c r="G13" s="720" t="s">
        <v>3121</v>
      </c>
      <c r="H13" s="721"/>
      <c r="I13" s="581"/>
      <c r="J13" s="580"/>
      <c r="K13" s="342"/>
      <c r="L13" s="266"/>
      <c r="M13" s="707"/>
      <c r="N13" s="708"/>
      <c r="O13" s="264"/>
      <c r="P13" s="159"/>
      <c r="Q13" s="140"/>
      <c r="R13" s="140"/>
      <c r="S13" s="254"/>
      <c r="U13" s="280"/>
      <c r="V13" s="714"/>
      <c r="W13" s="714"/>
      <c r="X13" s="714"/>
      <c r="Y13" s="714"/>
      <c r="Z13" s="714"/>
      <c r="AA13" s="714"/>
      <c r="AB13" s="714"/>
      <c r="AC13" s="120"/>
      <c r="AD13" s="115"/>
      <c r="AE13" s="532" t="s">
        <v>2548</v>
      </c>
      <c r="AF13" s="533">
        <f>M43</f>
        <v>328.32</v>
      </c>
      <c r="AG13" s="534">
        <f>AF13/$AF$16</f>
        <v>8.3988928360077278E-2</v>
      </c>
      <c r="AH13" s="115"/>
      <c r="AI13" s="115"/>
      <c r="AJ13" s="115"/>
      <c r="AK13" s="115"/>
      <c r="AL13" s="115"/>
      <c r="AM13" s="115"/>
      <c r="AN13" s="115"/>
      <c r="AO13" s="115"/>
    </row>
    <row r="14" spans="1:55" ht="13.6" x14ac:dyDescent="0.25">
      <c r="B14" s="253"/>
      <c r="C14" s="147"/>
      <c r="D14" s="147" t="s">
        <v>2530</v>
      </c>
      <c r="E14" s="147"/>
      <c r="F14" s="338"/>
      <c r="G14" s="444">
        <v>36</v>
      </c>
      <c r="H14" s="344" t="s">
        <v>2531</v>
      </c>
      <c r="I14" s="344"/>
      <c r="J14" s="344"/>
      <c r="K14" s="342"/>
      <c r="L14" s="266"/>
      <c r="M14" s="147"/>
      <c r="N14" s="159"/>
      <c r="O14" s="264"/>
      <c r="P14" s="159"/>
      <c r="Q14" s="140"/>
      <c r="R14" s="140"/>
      <c r="S14" s="254"/>
      <c r="U14" s="552"/>
      <c r="V14" s="555"/>
      <c r="W14" s="555"/>
      <c r="X14" s="555"/>
      <c r="Y14" s="555"/>
      <c r="Z14" s="555"/>
      <c r="AA14" s="555"/>
      <c r="AB14" s="555"/>
      <c r="AC14" s="120"/>
      <c r="AD14" s="115"/>
      <c r="AE14" s="532" t="s">
        <v>2538</v>
      </c>
      <c r="AF14" s="533">
        <f>M45</f>
        <v>500</v>
      </c>
      <c r="AG14" s="534">
        <f>AF14/$AF$16</f>
        <v>0.12790711555810991</v>
      </c>
      <c r="AH14" s="115"/>
      <c r="AI14" s="115"/>
      <c r="AJ14" s="115"/>
      <c r="AK14" s="115"/>
      <c r="AL14" s="115"/>
      <c r="AM14" s="115"/>
      <c r="AN14" s="115"/>
      <c r="AO14" s="115"/>
    </row>
    <row r="15" spans="1:55" s="9" customFormat="1" ht="18.350000000000001" x14ac:dyDescent="0.3">
      <c r="A15" s="1"/>
      <c r="B15" s="242"/>
      <c r="C15" s="150" t="s">
        <v>2512</v>
      </c>
      <c r="D15" s="150"/>
      <c r="E15" s="150"/>
      <c r="F15" s="339"/>
      <c r="G15" s="329"/>
      <c r="H15" s="329"/>
      <c r="I15" s="329"/>
      <c r="J15" s="329"/>
      <c r="K15" s="330"/>
      <c r="L15" s="241"/>
      <c r="M15" s="138"/>
      <c r="N15" s="142"/>
      <c r="O15" s="239"/>
      <c r="P15" s="142"/>
      <c r="Q15" s="142"/>
      <c r="R15" s="142"/>
      <c r="S15" s="239"/>
      <c r="T15" s="1"/>
      <c r="U15" s="243"/>
      <c r="V15" s="244" t="s">
        <v>2969</v>
      </c>
      <c r="W15" s="245"/>
      <c r="X15" s="245"/>
      <c r="Y15" s="245"/>
      <c r="Z15" s="245"/>
      <c r="AA15" s="246"/>
      <c r="AB15" s="247"/>
      <c r="AC15" s="120"/>
      <c r="AD15" s="115"/>
      <c r="AE15" s="532" t="s">
        <v>2547</v>
      </c>
      <c r="AF15" s="533">
        <f>M61</f>
        <v>831.60000000000014</v>
      </c>
      <c r="AG15" s="534">
        <f>AF15/$AF$16</f>
        <v>0.21273511459624841</v>
      </c>
      <c r="AH15" s="115"/>
      <c r="AI15" s="115"/>
      <c r="AJ15" s="115"/>
      <c r="AK15" s="115"/>
      <c r="AL15" s="115"/>
      <c r="AM15" s="115"/>
      <c r="AN15" s="115"/>
      <c r="AO15" s="115"/>
      <c r="AP15" s="198"/>
      <c r="AQ15" s="198"/>
      <c r="AR15" s="198"/>
      <c r="AS15" s="198"/>
      <c r="AT15" s="198"/>
      <c r="AU15" s="198"/>
      <c r="AV15" s="198"/>
      <c r="AW15" s="198"/>
      <c r="AX15" s="198"/>
      <c r="AY15" s="198"/>
      <c r="AZ15" s="198"/>
      <c r="BA15" s="198"/>
      <c r="BB15" s="198"/>
      <c r="BC15" s="198"/>
    </row>
    <row r="16" spans="1:55" s="9" customFormat="1" ht="13.6" x14ac:dyDescent="0.25">
      <c r="A16" s="1"/>
      <c r="B16" s="256"/>
      <c r="C16" s="138"/>
      <c r="D16" s="138" t="s">
        <v>2510</v>
      </c>
      <c r="E16" s="138"/>
      <c r="F16" s="325"/>
      <c r="G16" s="712" t="str">
        <f>VLOOKUP($G$12,'Daten-Elektrofahrzeug'!C6:M269,'Daten-Elektrofahrzeug'!F5,FALSE)</f>
        <v>Elektrizität</v>
      </c>
      <c r="H16" s="712"/>
      <c r="I16" s="712"/>
      <c r="J16" s="712"/>
      <c r="K16" s="343"/>
      <c r="L16" s="267"/>
      <c r="M16" s="704" t="str">
        <f>VLOOKUP($M$12,'Daten-Benzin-Dieselfahrzeug'!C6:M215,'Daten-Benzin-Dieselfahrzeug'!E5,FALSE)</f>
        <v>Benzin</v>
      </c>
      <c r="N16" s="704"/>
      <c r="O16" s="263"/>
      <c r="P16" s="694" t="s">
        <v>2854</v>
      </c>
      <c r="Q16" s="695"/>
      <c r="R16" s="695"/>
      <c r="S16" s="696"/>
      <c r="T16" s="1"/>
      <c r="U16" s="280"/>
      <c r="V16" s="8"/>
      <c r="W16" s="8"/>
      <c r="X16" s="8"/>
      <c r="Y16" s="8"/>
      <c r="Z16" s="8"/>
      <c r="AA16" s="8"/>
      <c r="AB16" s="281"/>
      <c r="AC16" s="120"/>
      <c r="AD16" s="115"/>
      <c r="AE16" s="532"/>
      <c r="AF16" s="533">
        <f>SUM(AF11:AF15)</f>
        <v>3909.086666666667</v>
      </c>
      <c r="AG16" s="532"/>
      <c r="AH16" s="115"/>
      <c r="AI16" s="115"/>
      <c r="AJ16" s="115"/>
      <c r="AK16" s="115"/>
      <c r="AL16" s="115"/>
      <c r="AM16" s="115"/>
      <c r="AN16" s="115"/>
      <c r="AO16" s="115"/>
      <c r="AP16" s="198"/>
      <c r="AQ16" s="198"/>
      <c r="AR16" s="198"/>
      <c r="AS16" s="198"/>
      <c r="AT16" s="198"/>
      <c r="AU16" s="198"/>
      <c r="AV16" s="198"/>
      <c r="AW16" s="198"/>
      <c r="AX16" s="198"/>
      <c r="AY16" s="198"/>
      <c r="AZ16" s="198"/>
      <c r="BA16" s="198"/>
      <c r="BB16" s="198"/>
      <c r="BC16" s="198"/>
    </row>
    <row r="17" spans="2:43" ht="13.6" x14ac:dyDescent="0.25">
      <c r="B17" s="256"/>
      <c r="C17" s="138"/>
      <c r="D17" s="138" t="s">
        <v>2508</v>
      </c>
      <c r="E17" s="138"/>
      <c r="F17" s="325"/>
      <c r="G17" s="713">
        <f>VLOOKUP($G$12,'Daten-Elektrofahrzeug'!C6:M269,'Daten-Elektrofahrzeug'!E5,FALSE)</f>
        <v>107</v>
      </c>
      <c r="H17" s="713"/>
      <c r="I17" s="329" t="s">
        <v>2501</v>
      </c>
      <c r="J17" s="329"/>
      <c r="K17" s="330"/>
      <c r="L17" s="241"/>
      <c r="M17" s="217">
        <f>VLOOKUP($M$12,'Daten-Benzin-Dieselfahrzeug'!C6:M215,'Daten-Benzin-Dieselfahrzeug'!D5,FALSE)</f>
        <v>96</v>
      </c>
      <c r="N17" s="149" t="s">
        <v>2501</v>
      </c>
      <c r="O17" s="265"/>
      <c r="P17" s="150"/>
      <c r="Q17" s="417">
        <f>IF(M17-G17&lt;0,(M17-G17)*-1,M17-G17)</f>
        <v>11</v>
      </c>
      <c r="R17" s="417" t="s">
        <v>2501</v>
      </c>
      <c r="S17" s="257"/>
      <c r="U17" s="280"/>
      <c r="V17" s="8"/>
      <c r="W17" s="8"/>
      <c r="X17" s="8"/>
      <c r="Y17" s="8"/>
      <c r="Z17" s="8"/>
      <c r="AA17" s="8"/>
      <c r="AB17" s="281"/>
      <c r="AC17" s="120"/>
      <c r="AD17" s="115"/>
      <c r="AE17" s="532"/>
      <c r="AF17" s="532"/>
      <c r="AG17" s="535"/>
      <c r="AH17" s="115"/>
      <c r="AI17" s="115"/>
      <c r="AJ17" s="115"/>
      <c r="AK17" s="115"/>
      <c r="AL17" s="115"/>
      <c r="AM17" s="115"/>
      <c r="AN17" s="115"/>
      <c r="AO17" s="115"/>
      <c r="AP17" s="115"/>
      <c r="AQ17" s="115"/>
    </row>
    <row r="18" spans="2:43" ht="13.6" x14ac:dyDescent="0.25">
      <c r="B18" s="256"/>
      <c r="C18" s="138"/>
      <c r="D18" s="138"/>
      <c r="E18" s="138"/>
      <c r="F18" s="325"/>
      <c r="G18" s="713">
        <f>G17*1.3596216</f>
        <v>145.47951120000002</v>
      </c>
      <c r="H18" s="713"/>
      <c r="I18" s="329" t="s">
        <v>2557</v>
      </c>
      <c r="J18" s="329"/>
      <c r="K18" s="330"/>
      <c r="L18" s="241"/>
      <c r="M18" s="214">
        <f>M17*1.3596216</f>
        <v>130.5236736</v>
      </c>
      <c r="N18" s="142" t="s">
        <v>2557</v>
      </c>
      <c r="O18" s="265"/>
      <c r="P18" s="150"/>
      <c r="Q18" s="417">
        <f>IF(M18-G18&lt;0,(M18-G18)*-1,M18-G18)</f>
        <v>14.955837600000024</v>
      </c>
      <c r="R18" s="417" t="s">
        <v>2557</v>
      </c>
      <c r="S18" s="257"/>
      <c r="U18" s="282"/>
      <c r="V18" s="271"/>
      <c r="W18" s="271"/>
      <c r="X18" s="272"/>
      <c r="Y18" s="272"/>
      <c r="Z18" s="272"/>
      <c r="AA18" s="272"/>
      <c r="AB18" s="283"/>
      <c r="AC18" s="120"/>
      <c r="AD18" s="115"/>
      <c r="AE18" s="532"/>
      <c r="AF18" s="532" t="s">
        <v>2507</v>
      </c>
      <c r="AG18" s="535"/>
      <c r="AH18" s="115"/>
      <c r="AI18" s="115"/>
      <c r="AJ18" s="115"/>
      <c r="AK18" s="115"/>
      <c r="AL18" s="115"/>
      <c r="AM18" s="115"/>
      <c r="AN18" s="115"/>
      <c r="AO18" s="115"/>
      <c r="AP18" s="115"/>
      <c r="AQ18" s="115"/>
    </row>
    <row r="19" spans="2:43" ht="12.75" customHeight="1" x14ac:dyDescent="0.25">
      <c r="B19" s="241"/>
      <c r="C19" s="138"/>
      <c r="D19" s="138" t="s">
        <v>2516</v>
      </c>
      <c r="E19" s="138"/>
      <c r="F19" s="325"/>
      <c r="G19" s="713">
        <f>VLOOKUP($G$12,'Daten-Elektrofahrzeug'!C6:M269,'Daten-Elektrofahrzeug'!G5,FALSE)</f>
        <v>15.7</v>
      </c>
      <c r="H19" s="713"/>
      <c r="I19" s="329" t="s">
        <v>2509</v>
      </c>
      <c r="J19" s="329"/>
      <c r="K19" s="330"/>
      <c r="L19" s="241"/>
      <c r="M19" s="217">
        <f>VLOOKUP($M$12,'Daten-Benzin-Dieselfahrzeug'!C6:M215,'Daten-Benzin-Dieselfahrzeug'!G5,FALSE)</f>
        <v>5.4</v>
      </c>
      <c r="N19" s="149" t="s">
        <v>2536</v>
      </c>
      <c r="O19" s="265"/>
      <c r="P19" s="142"/>
      <c r="Q19" s="142"/>
      <c r="R19" s="142"/>
      <c r="S19" s="239"/>
      <c r="U19" s="282"/>
      <c r="V19" s="271"/>
      <c r="W19" s="271"/>
      <c r="X19" s="272"/>
      <c r="Y19" s="272"/>
      <c r="Z19" s="272"/>
      <c r="AA19" s="272"/>
      <c r="AB19" s="283"/>
      <c r="AC19" s="120"/>
      <c r="AD19" s="115"/>
      <c r="AE19" s="532"/>
      <c r="AF19" s="532"/>
      <c r="AG19" s="535"/>
      <c r="AH19" s="115"/>
      <c r="AI19" s="115"/>
      <c r="AJ19" s="115"/>
      <c r="AK19" s="115"/>
      <c r="AL19" s="115"/>
      <c r="AM19" s="115"/>
      <c r="AN19" s="115"/>
      <c r="AO19" s="115"/>
      <c r="AP19" s="115"/>
      <c r="AQ19" s="115"/>
    </row>
    <row r="20" spans="2:43" ht="12.75" customHeight="1" x14ac:dyDescent="0.25">
      <c r="B20" s="241"/>
      <c r="C20" s="138"/>
      <c r="D20" s="138" t="s">
        <v>2864</v>
      </c>
      <c r="E20" s="138"/>
      <c r="F20" s="325"/>
      <c r="G20" s="716">
        <v>0.95</v>
      </c>
      <c r="H20" s="717"/>
      <c r="I20" s="329" t="s">
        <v>2589</v>
      </c>
      <c r="J20" s="329"/>
      <c r="K20" s="330"/>
      <c r="L20" s="578"/>
      <c r="M20" s="214">
        <f>M19/100*$G$7</f>
        <v>756.00000000000011</v>
      </c>
      <c r="N20" s="142" t="s">
        <v>2517</v>
      </c>
      <c r="O20" s="265"/>
      <c r="P20" s="697" t="s">
        <v>2851</v>
      </c>
      <c r="Q20" s="698"/>
      <c r="R20" s="698"/>
      <c r="S20" s="699"/>
      <c r="U20" s="282"/>
      <c r="V20" s="271"/>
      <c r="W20" s="271"/>
      <c r="X20" s="272"/>
      <c r="Y20" s="272"/>
      <c r="Z20" s="272"/>
      <c r="AA20" s="272"/>
      <c r="AB20" s="283"/>
      <c r="AC20" s="120"/>
      <c r="AD20" s="115"/>
      <c r="AE20" s="532" t="s">
        <v>2551</v>
      </c>
      <c r="AF20" s="533">
        <f>($G$29-$G$32)/$AF$8</f>
        <v>2535</v>
      </c>
      <c r="AG20" s="534">
        <f>AF20/$AF$25</f>
        <v>0.76548662158562608</v>
      </c>
      <c r="AH20" s="115"/>
      <c r="AI20" s="115"/>
      <c r="AJ20" s="115"/>
      <c r="AK20" s="115"/>
      <c r="AL20" s="115"/>
      <c r="AM20" s="115"/>
      <c r="AN20" s="115"/>
      <c r="AO20" s="115"/>
      <c r="AP20" s="115"/>
      <c r="AQ20" s="115"/>
    </row>
    <row r="21" spans="2:43" ht="12.75" customHeight="1" x14ac:dyDescent="0.25">
      <c r="B21" s="241"/>
      <c r="C21" s="138"/>
      <c r="D21" s="138" t="s">
        <v>2515</v>
      </c>
      <c r="E21" s="138"/>
      <c r="F21" s="325"/>
      <c r="G21" s="713">
        <f>(G19/100*$G$7)/G20</f>
        <v>2313.6842105263158</v>
      </c>
      <c r="H21" s="713"/>
      <c r="I21" s="329" t="s">
        <v>1915</v>
      </c>
      <c r="J21" s="329"/>
      <c r="K21" s="330"/>
      <c r="L21" s="241"/>
      <c r="M21" s="214">
        <f>IF(M16="Benzin",M20*'Daten-Benzin-Dieselfahrzeug'!$O$3,M20*'Daten-Benzin-Dieselfahrzeug'!$O$4)</f>
        <v>6456.2400000000007</v>
      </c>
      <c r="N21" s="142" t="s">
        <v>1915</v>
      </c>
      <c r="O21" s="239"/>
      <c r="P21" s="142"/>
      <c r="Q21" s="417">
        <f>M21-G21</f>
        <v>4142.5557894736849</v>
      </c>
      <c r="R21" s="418" t="s">
        <v>1915</v>
      </c>
      <c r="S21" s="239"/>
      <c r="U21" s="282"/>
      <c r="V21" s="271"/>
      <c r="W21" s="271"/>
      <c r="X21" s="272"/>
      <c r="Y21" s="272"/>
      <c r="Z21" s="272"/>
      <c r="AA21" s="272"/>
      <c r="AB21" s="283"/>
      <c r="AC21" s="120"/>
      <c r="AD21" s="115"/>
      <c r="AE21" s="532" t="s">
        <v>2546</v>
      </c>
      <c r="AF21" s="533">
        <f>$G$31/$AF$8</f>
        <v>100</v>
      </c>
      <c r="AG21" s="534">
        <f>AF21/$AF$25</f>
        <v>3.0196710910675585E-2</v>
      </c>
      <c r="AH21" s="115"/>
      <c r="AI21" s="115"/>
      <c r="AJ21" s="115"/>
      <c r="AK21" s="115"/>
      <c r="AL21" s="115"/>
      <c r="AM21" s="115"/>
      <c r="AN21" s="115"/>
      <c r="AO21" s="115"/>
      <c r="AP21" s="115"/>
      <c r="AQ21" s="115"/>
    </row>
    <row r="22" spans="2:43" ht="12.75" customHeight="1" x14ac:dyDescent="0.35">
      <c r="B22" s="241"/>
      <c r="C22" s="138"/>
      <c r="D22" s="138" t="s">
        <v>2865</v>
      </c>
      <c r="E22" s="138"/>
      <c r="F22" s="325"/>
      <c r="G22" s="713">
        <f>VLOOKUP($G$12,'Daten-Elektrofahrzeug'!C6:M269,'Daten-Elektrofahrzeug'!I5,FALSE)</f>
        <v>0</v>
      </c>
      <c r="H22" s="713"/>
      <c r="I22" s="329" t="s">
        <v>2505</v>
      </c>
      <c r="J22" s="329"/>
      <c r="K22" s="330"/>
      <c r="L22" s="241"/>
      <c r="M22" s="214">
        <f>VLOOKUP($M$12,'Daten-Benzin-Dieselfahrzeug'!C6:M215,'Daten-Benzin-Dieselfahrzeug'!H5,FALSE)</f>
        <v>122</v>
      </c>
      <c r="N22" s="142" t="s">
        <v>2505</v>
      </c>
      <c r="O22" s="239"/>
      <c r="P22" s="142"/>
      <c r="Q22" s="142"/>
      <c r="R22" s="142"/>
      <c r="S22" s="239"/>
      <c r="U22" s="282"/>
      <c r="V22" s="271"/>
      <c r="W22" s="271"/>
      <c r="X22" s="272"/>
      <c r="Y22" s="272"/>
      <c r="Z22" s="272"/>
      <c r="AA22" s="272"/>
      <c r="AB22" s="283"/>
      <c r="AC22" s="120"/>
      <c r="AD22" s="115"/>
      <c r="AE22" s="532" t="s">
        <v>2548</v>
      </c>
      <c r="AF22" s="532">
        <f>$G$43</f>
        <v>0</v>
      </c>
      <c r="AG22" s="534">
        <f>AF22/$AF$25</f>
        <v>0</v>
      </c>
      <c r="AH22" s="115"/>
      <c r="AI22" s="115"/>
      <c r="AJ22" s="115"/>
      <c r="AK22" s="115"/>
      <c r="AL22" s="115"/>
      <c r="AM22" s="115"/>
      <c r="AN22" s="115"/>
      <c r="AO22" s="115"/>
      <c r="AP22" s="115"/>
      <c r="AQ22" s="115"/>
    </row>
    <row r="23" spans="2:43" ht="16.3" x14ac:dyDescent="0.35">
      <c r="B23" s="241"/>
      <c r="C23" s="138"/>
      <c r="D23" s="138" t="s">
        <v>2812</v>
      </c>
      <c r="E23" s="138"/>
      <c r="F23" s="325"/>
      <c r="G23" s="713">
        <f>G22*G7/1000</f>
        <v>0</v>
      </c>
      <c r="H23" s="713"/>
      <c r="I23" s="329" t="s">
        <v>2558</v>
      </c>
      <c r="J23" s="329"/>
      <c r="K23" s="330"/>
      <c r="L23" s="241"/>
      <c r="M23" s="214">
        <f>M22*G7/1000</f>
        <v>1708</v>
      </c>
      <c r="N23" s="142" t="s">
        <v>2558</v>
      </c>
      <c r="O23" s="239"/>
      <c r="P23" s="142"/>
      <c r="Q23" s="142"/>
      <c r="R23" s="142"/>
      <c r="S23" s="239"/>
      <c r="U23" s="282"/>
      <c r="V23" s="271"/>
      <c r="W23" s="271"/>
      <c r="X23" s="272"/>
      <c r="Y23" s="272"/>
      <c r="Z23" s="272"/>
      <c r="AA23" s="272"/>
      <c r="AB23" s="283"/>
      <c r="AC23" s="120"/>
      <c r="AD23" s="115"/>
      <c r="AE23" s="532" t="s">
        <v>2538</v>
      </c>
      <c r="AF23" s="533">
        <f>$G$45</f>
        <v>200</v>
      </c>
      <c r="AG23" s="534">
        <f>AF23/$AF$25</f>
        <v>6.039342182135117E-2</v>
      </c>
      <c r="AH23" s="115"/>
      <c r="AI23" s="115"/>
      <c r="AJ23" s="115"/>
      <c r="AK23" s="115"/>
      <c r="AL23" s="115"/>
      <c r="AM23" s="115"/>
      <c r="AN23" s="115"/>
      <c r="AO23" s="115"/>
      <c r="AP23" s="115"/>
      <c r="AQ23" s="115"/>
    </row>
    <row r="24" spans="2:43" ht="7.5" customHeight="1" x14ac:dyDescent="0.25">
      <c r="B24" s="258"/>
      <c r="C24" s="438"/>
      <c r="D24" s="438"/>
      <c r="E24" s="438"/>
      <c r="F24" s="441"/>
      <c r="G24" s="439"/>
      <c r="H24" s="439"/>
      <c r="I24" s="331"/>
      <c r="J24" s="331"/>
      <c r="K24" s="332"/>
      <c r="L24" s="258"/>
      <c r="M24" s="440"/>
      <c r="N24" s="259"/>
      <c r="O24" s="260"/>
      <c r="P24" s="259"/>
      <c r="Q24" s="259"/>
      <c r="R24" s="259"/>
      <c r="S24" s="260"/>
      <c r="U24" s="284"/>
      <c r="V24" s="285"/>
      <c r="W24" s="285"/>
      <c r="X24" s="286"/>
      <c r="Y24" s="286"/>
      <c r="Z24" s="286"/>
      <c r="AA24" s="286"/>
      <c r="AB24" s="287"/>
      <c r="AC24" s="120"/>
      <c r="AD24" s="115"/>
      <c r="AE24" s="532" t="s">
        <v>2547</v>
      </c>
      <c r="AF24" s="533">
        <f>$G$61</f>
        <v>476.61894736842106</v>
      </c>
      <c r="AG24" s="534">
        <f>AF24/$AF$25</f>
        <v>0.14392324568234713</v>
      </c>
      <c r="AH24" s="115"/>
      <c r="AI24" s="115"/>
      <c r="AJ24" s="115"/>
      <c r="AK24" s="115"/>
      <c r="AL24" s="115"/>
      <c r="AM24" s="115"/>
      <c r="AN24" s="115"/>
      <c r="AO24" s="115"/>
      <c r="AP24" s="115"/>
      <c r="AQ24" s="115"/>
    </row>
    <row r="25" spans="2:43" ht="12.25" customHeight="1" x14ac:dyDescent="0.25">
      <c r="B25" s="234"/>
      <c r="C25" s="236"/>
      <c r="D25" s="236"/>
      <c r="E25" s="236"/>
      <c r="F25" s="236"/>
      <c r="G25" s="237"/>
      <c r="H25" s="237"/>
      <c r="I25" s="234"/>
      <c r="J25" s="234"/>
      <c r="K25" s="234"/>
      <c r="L25" s="234"/>
      <c r="M25" s="237"/>
      <c r="N25" s="234"/>
      <c r="O25" s="234"/>
      <c r="P25" s="234"/>
      <c r="Q25" s="234"/>
      <c r="R25" s="234"/>
      <c r="S25" s="234"/>
      <c r="U25" s="163"/>
      <c r="V25" s="163"/>
      <c r="W25" s="163"/>
      <c r="X25" s="268"/>
      <c r="Y25" s="268"/>
      <c r="Z25" s="268"/>
      <c r="AA25" s="268"/>
      <c r="AB25" s="268"/>
      <c r="AC25" s="120"/>
      <c r="AD25" s="115"/>
      <c r="AE25" s="532"/>
      <c r="AF25" s="533">
        <f>SUM(AF20:AF24)</f>
        <v>3311.6189473684212</v>
      </c>
      <c r="AG25" s="533"/>
      <c r="AH25" s="115"/>
      <c r="AI25" s="115"/>
      <c r="AJ25" s="115"/>
      <c r="AK25" s="115"/>
      <c r="AL25" s="115"/>
      <c r="AM25" s="115"/>
      <c r="AN25" s="115"/>
      <c r="AO25" s="115"/>
      <c r="AP25" s="115"/>
      <c r="AQ25" s="115"/>
    </row>
    <row r="26" spans="2:43" ht="18" customHeight="1" x14ac:dyDescent="0.3">
      <c r="B26" s="243"/>
      <c r="C26" s="244" t="s">
        <v>2554</v>
      </c>
      <c r="D26" s="244"/>
      <c r="E26" s="244"/>
      <c r="F26" s="690" t="s">
        <v>2507</v>
      </c>
      <c r="G26" s="691"/>
      <c r="H26" s="691"/>
      <c r="I26" s="691"/>
      <c r="J26" s="691"/>
      <c r="K26" s="692"/>
      <c r="L26" s="690" t="s">
        <v>2561</v>
      </c>
      <c r="M26" s="691"/>
      <c r="N26" s="691"/>
      <c r="O26" s="692"/>
      <c r="P26" s="690" t="s">
        <v>2850</v>
      </c>
      <c r="Q26" s="691"/>
      <c r="R26" s="691"/>
      <c r="S26" s="692"/>
      <c r="U26" s="243"/>
      <c r="V26" s="244" t="s">
        <v>2967</v>
      </c>
      <c r="W26" s="245"/>
      <c r="X26" s="245"/>
      <c r="Y26" s="245"/>
      <c r="Z26" s="245"/>
      <c r="AA26" s="246"/>
      <c r="AB26" s="247"/>
      <c r="AC26" s="120"/>
      <c r="AD26" s="115"/>
      <c r="AE26" s="532"/>
      <c r="AF26" s="533"/>
      <c r="AG26" s="534"/>
      <c r="AH26" s="115"/>
      <c r="AI26" s="115"/>
      <c r="AJ26" s="115"/>
      <c r="AK26" s="115"/>
      <c r="AL26" s="115"/>
      <c r="AM26" s="115"/>
      <c r="AN26" s="115"/>
      <c r="AO26" s="115"/>
      <c r="AP26" s="115"/>
      <c r="AQ26" s="115"/>
    </row>
    <row r="27" spans="2:43" ht="7.5" customHeight="1" x14ac:dyDescent="0.25">
      <c r="B27" s="358"/>
      <c r="C27" s="349"/>
      <c r="D27" s="349"/>
      <c r="E27" s="349"/>
      <c r="F27" s="350"/>
      <c r="G27" s="491"/>
      <c r="H27" s="491"/>
      <c r="I27" s="492"/>
      <c r="J27" s="492"/>
      <c r="K27" s="493"/>
      <c r="L27" s="358"/>
      <c r="M27" s="494"/>
      <c r="N27" s="371"/>
      <c r="O27" s="372"/>
      <c r="P27" s="371"/>
      <c r="Q27" s="371"/>
      <c r="R27" s="371"/>
      <c r="S27" s="372"/>
      <c r="U27" s="487"/>
      <c r="V27" s="488"/>
      <c r="W27" s="488"/>
      <c r="X27" s="489"/>
      <c r="Y27" s="489"/>
      <c r="Z27" s="489"/>
      <c r="AA27" s="489"/>
      <c r="AB27" s="490"/>
      <c r="AC27" s="120"/>
      <c r="AD27" s="115"/>
      <c r="AE27" s="532"/>
      <c r="AF27" s="533"/>
      <c r="AG27" s="533"/>
      <c r="AH27" s="115"/>
      <c r="AI27" s="115"/>
      <c r="AJ27" s="115"/>
      <c r="AK27" s="115"/>
      <c r="AL27" s="115"/>
      <c r="AM27" s="115"/>
      <c r="AN27" s="115"/>
      <c r="AO27" s="115"/>
      <c r="AP27" s="115"/>
      <c r="AQ27" s="115"/>
    </row>
    <row r="28" spans="2:43" ht="12.75" customHeight="1" x14ac:dyDescent="0.25">
      <c r="B28" s="262"/>
      <c r="C28" s="138"/>
      <c r="D28" s="138"/>
      <c r="E28" s="138"/>
      <c r="F28" s="325"/>
      <c r="G28" s="500" t="s">
        <v>2883</v>
      </c>
      <c r="H28" s="500"/>
      <c r="I28" s="500" t="s">
        <v>2884</v>
      </c>
      <c r="J28" s="329"/>
      <c r="K28" s="330"/>
      <c r="L28" s="241"/>
      <c r="M28" s="148"/>
      <c r="N28" s="142"/>
      <c r="O28" s="239"/>
      <c r="P28" s="345"/>
      <c r="Q28" s="346"/>
      <c r="R28" s="346"/>
      <c r="S28" s="347"/>
      <c r="U28" s="318"/>
      <c r="V28" s="150" t="s">
        <v>2956</v>
      </c>
      <c r="W28" s="10"/>
      <c r="X28" s="10"/>
      <c r="Y28" s="10"/>
      <c r="Z28" s="10"/>
      <c r="AA28" s="10"/>
      <c r="AB28" s="319"/>
      <c r="AC28" s="120"/>
      <c r="AD28" s="115"/>
      <c r="AE28" s="573"/>
      <c r="AF28" s="574"/>
      <c r="AG28" s="574"/>
      <c r="AH28" s="120"/>
      <c r="AI28" s="120"/>
      <c r="AJ28" s="120"/>
      <c r="AK28" s="120"/>
      <c r="AL28" s="120"/>
      <c r="AM28" s="120"/>
      <c r="AN28" s="115"/>
      <c r="AO28" s="115"/>
      <c r="AP28" s="115"/>
      <c r="AQ28" s="115"/>
    </row>
    <row r="29" spans="2:43" ht="12.75" customHeight="1" x14ac:dyDescent="0.25">
      <c r="B29" s="262"/>
      <c r="C29" s="560"/>
      <c r="D29" s="138" t="str">
        <f>IF(G8="Privat","Privatfahrzeug:","Vorsteuerabzug (Betriebsfahrzeug):")</f>
        <v>Privatfahrzeug:</v>
      </c>
      <c r="E29" s="150"/>
      <c r="F29" s="339"/>
      <c r="G29" s="333">
        <f>VLOOKUP($G$12,'Daten-Elektrofahrzeug'!C6:M269,IF(OR(G13=H136,H137=""),'Daten-Elektrofahrzeug'!L5,'Daten-Elektrofahrzeug'!J5),FALSE)</f>
        <v>35420</v>
      </c>
      <c r="H29" s="329" t="s">
        <v>1573</v>
      </c>
      <c r="I29" s="333">
        <f>IF((G29-G32)&lt;80000,IF((G29-G32)&lt;=40000,(G29-G32)/1.2,(G29-G32)-(40000-(40000/1.2))),(G29-G32))</f>
        <v>25350</v>
      </c>
      <c r="J29" s="329" t="s">
        <v>1573</v>
      </c>
      <c r="K29" s="330"/>
      <c r="L29" s="241"/>
      <c r="M29" s="148">
        <f>VLOOKUP($M$12,'Daten-Benzin-Dieselfahrzeug'!C6:M215,'Daten-Benzin-Dieselfahrzeug'!I5,FALSE)</f>
        <v>26990</v>
      </c>
      <c r="N29" s="142" t="s">
        <v>1573</v>
      </c>
      <c r="O29" s="239"/>
      <c r="P29" s="345"/>
      <c r="Q29" s="419">
        <f>IF(G8&lt;&gt;C117,M29-I29,M29-G29)</f>
        <v>-8430</v>
      </c>
      <c r="R29" s="420" t="s">
        <v>1573</v>
      </c>
      <c r="S29" s="347"/>
      <c r="U29" s="320"/>
      <c r="V29" s="10"/>
      <c r="W29" s="10"/>
      <c r="X29" s="10"/>
      <c r="Y29" s="10"/>
      <c r="Z29" s="10"/>
      <c r="AA29" s="10"/>
      <c r="AB29" s="319"/>
      <c r="AC29" s="120"/>
      <c r="AD29" s="115"/>
      <c r="AE29" s="573"/>
      <c r="AF29" s="574"/>
      <c r="AG29" s="574"/>
      <c r="AH29" s="120"/>
      <c r="AI29" s="120"/>
      <c r="AJ29" s="120"/>
      <c r="AK29" s="120"/>
      <c r="AL29" s="120"/>
      <c r="AM29" s="120"/>
      <c r="AN29" s="115"/>
      <c r="AO29" s="115"/>
      <c r="AP29" s="115"/>
      <c r="AQ29" s="115"/>
    </row>
    <row r="30" spans="2:43" ht="12.75" customHeight="1" x14ac:dyDescent="0.25">
      <c r="B30" s="262"/>
      <c r="C30" s="138"/>
      <c r="D30" s="138"/>
      <c r="E30" s="138"/>
      <c r="F30" s="325"/>
      <c r="G30" s="334"/>
      <c r="H30" s="334"/>
      <c r="I30" s="329"/>
      <c r="J30" s="329"/>
      <c r="K30" s="330"/>
      <c r="L30" s="241"/>
      <c r="M30" s="334"/>
      <c r="N30" s="329"/>
      <c r="O30" s="239"/>
      <c r="P30" s="345"/>
      <c r="Q30" s="419"/>
      <c r="R30" s="420"/>
      <c r="S30" s="347"/>
      <c r="U30" s="320"/>
      <c r="V30" s="10"/>
      <c r="W30" s="10"/>
      <c r="X30" s="10"/>
      <c r="Y30" s="10"/>
      <c r="Z30" s="10"/>
      <c r="AA30" s="10"/>
      <c r="AB30" s="319"/>
      <c r="AC30" s="120"/>
      <c r="AD30" s="115"/>
      <c r="AE30" s="573"/>
      <c r="AF30" s="574"/>
      <c r="AG30" s="574"/>
      <c r="AH30" s="120"/>
      <c r="AI30" s="120"/>
      <c r="AJ30" s="120"/>
      <c r="AK30" s="120"/>
      <c r="AL30" s="120"/>
      <c r="AM30" s="120"/>
      <c r="AN30" s="115"/>
      <c r="AO30" s="115"/>
      <c r="AP30" s="115"/>
      <c r="AQ30" s="115"/>
    </row>
    <row r="31" spans="2:43" ht="12.75" customHeight="1" x14ac:dyDescent="0.25">
      <c r="B31" s="241"/>
      <c r="C31" s="138"/>
      <c r="D31" s="138" t="s">
        <v>3298</v>
      </c>
      <c r="E31" s="138"/>
      <c r="F31" s="325"/>
      <c r="G31" s="445">
        <v>1200</v>
      </c>
      <c r="H31" s="329" t="s">
        <v>1573</v>
      </c>
      <c r="I31" s="561">
        <f>G31*$C$125</f>
        <v>1000</v>
      </c>
      <c r="J31" s="329" t="s">
        <v>1573</v>
      </c>
      <c r="K31" s="330"/>
      <c r="L31" s="241"/>
      <c r="M31" s="142"/>
      <c r="N31" s="221"/>
      <c r="O31" s="240"/>
      <c r="P31" s="345"/>
      <c r="Q31" s="419">
        <f>IF(G8&lt;&gt;C117,I31*-1,G31*-1)</f>
        <v>-1200</v>
      </c>
      <c r="R31" s="420" t="s">
        <v>1573</v>
      </c>
      <c r="S31" s="347"/>
      <c r="U31" s="320"/>
      <c r="V31" s="10"/>
      <c r="W31" s="10"/>
      <c r="X31" s="10"/>
      <c r="Y31" s="10"/>
      <c r="Z31" s="10"/>
      <c r="AA31" s="10"/>
      <c r="AB31" s="319"/>
      <c r="AC31" s="120"/>
      <c r="AD31" s="115"/>
      <c r="AE31" s="532"/>
      <c r="AF31" s="533"/>
      <c r="AG31" s="533"/>
      <c r="AH31" s="115"/>
      <c r="AI31" s="115"/>
      <c r="AJ31" s="115"/>
      <c r="AK31" s="115"/>
      <c r="AL31" s="115"/>
      <c r="AM31" s="120"/>
      <c r="AN31" s="115"/>
      <c r="AO31" s="115"/>
      <c r="AP31" s="115"/>
      <c r="AQ31" s="115"/>
    </row>
    <row r="32" spans="2:43" ht="13.6" x14ac:dyDescent="0.25">
      <c r="B32" s="241"/>
      <c r="C32" s="138"/>
      <c r="D32" s="138" t="s">
        <v>3297</v>
      </c>
      <c r="E32" s="138"/>
      <c r="F32" s="325"/>
      <c r="G32" s="445">
        <v>5000</v>
      </c>
      <c r="H32" s="329" t="s">
        <v>1573</v>
      </c>
      <c r="I32" s="329"/>
      <c r="J32" s="329"/>
      <c r="K32" s="330"/>
      <c r="L32" s="571" t="str">
        <f>IF($G$8&lt;&gt;$C$117,"                Förderung ist im Nettoanschaffungswert integriert!","")</f>
        <v/>
      </c>
      <c r="M32" s="142"/>
      <c r="N32" s="221"/>
      <c r="O32" s="240"/>
      <c r="P32" s="345"/>
      <c r="Q32" s="421">
        <f>IF($G$8=C117,G32-M32,I32-M32)</f>
        <v>5000</v>
      </c>
      <c r="R32" s="422" t="s">
        <v>1573</v>
      </c>
      <c r="S32" s="347"/>
      <c r="U32" s="321"/>
      <c r="V32" s="164"/>
      <c r="W32" s="99"/>
      <c r="X32" s="99"/>
      <c r="Y32" s="99"/>
      <c r="Z32" s="99"/>
      <c r="AA32" s="99"/>
      <c r="AB32" s="448"/>
      <c r="AC32" s="120"/>
      <c r="AD32" s="115"/>
      <c r="AE32" s="532"/>
      <c r="AF32" s="533"/>
      <c r="AG32" s="533"/>
      <c r="AH32" s="115"/>
      <c r="AI32" s="115"/>
      <c r="AJ32" s="115"/>
      <c r="AK32" s="115"/>
      <c r="AL32" s="115"/>
      <c r="AM32" s="120"/>
      <c r="AN32" s="115"/>
      <c r="AO32" s="115"/>
      <c r="AP32" s="115"/>
      <c r="AQ32" s="115"/>
    </row>
    <row r="33" spans="2:43" ht="13.6" x14ac:dyDescent="0.25">
      <c r="B33" s="262"/>
      <c r="C33" s="150"/>
      <c r="D33" s="150"/>
      <c r="E33" s="150"/>
      <c r="F33" s="339"/>
      <c r="G33" s="329"/>
      <c r="H33" s="329"/>
      <c r="I33" s="329"/>
      <c r="J33" s="329"/>
      <c r="K33" s="330"/>
      <c r="L33" s="241"/>
      <c r="M33" s="142"/>
      <c r="N33" s="142"/>
      <c r="O33" s="239"/>
      <c r="P33" s="142"/>
      <c r="Q33" s="423">
        <f>SUM(Q29:Q32)</f>
        <v>-4630</v>
      </c>
      <c r="R33" s="424" t="s">
        <v>1573</v>
      </c>
      <c r="S33" s="289"/>
      <c r="U33" s="449"/>
      <c r="V33" s="99"/>
      <c r="W33" s="99"/>
      <c r="X33" s="99"/>
      <c r="Y33" s="99"/>
      <c r="Z33" s="99"/>
      <c r="AA33" s="99"/>
      <c r="AB33" s="448"/>
      <c r="AC33" s="120"/>
      <c r="AD33" s="115"/>
      <c r="AE33" s="532"/>
      <c r="AF33" s="533"/>
      <c r="AG33" s="533"/>
      <c r="AH33" s="115"/>
      <c r="AI33" s="115"/>
      <c r="AJ33" s="115"/>
      <c r="AK33" s="115"/>
      <c r="AL33" s="115"/>
      <c r="AM33" s="120"/>
      <c r="AN33" s="115"/>
      <c r="AO33" s="115"/>
      <c r="AP33" s="115"/>
      <c r="AQ33" s="115"/>
    </row>
    <row r="34" spans="2:43" ht="12.75" customHeight="1" x14ac:dyDescent="0.25">
      <c r="B34" s="262"/>
      <c r="C34" s="150"/>
      <c r="D34" s="138" t="s">
        <v>2972</v>
      </c>
      <c r="E34" s="434"/>
      <c r="F34" s="432"/>
      <c r="G34" s="445">
        <v>9</v>
      </c>
      <c r="H34" s="329" t="s">
        <v>2834</v>
      </c>
      <c r="I34" s="329"/>
      <c r="J34" s="329"/>
      <c r="K34" s="329"/>
      <c r="L34" s="241"/>
      <c r="M34" s="142"/>
      <c r="N34" s="142"/>
      <c r="O34" s="239"/>
      <c r="P34" s="241"/>
      <c r="Q34" s="142"/>
      <c r="R34" s="433"/>
      <c r="S34" s="289"/>
      <c r="U34" s="449"/>
      <c r="V34" s="99"/>
      <c r="W34" s="99"/>
      <c r="X34" s="99"/>
      <c r="Y34" s="99"/>
      <c r="Z34" s="99"/>
      <c r="AA34" s="99"/>
      <c r="AB34" s="448"/>
      <c r="AC34" s="120"/>
      <c r="AD34" s="115"/>
      <c r="AE34" s="532"/>
      <c r="AF34" s="533"/>
      <c r="AG34" s="533"/>
      <c r="AH34" s="115"/>
      <c r="AI34" s="115"/>
      <c r="AJ34" s="115"/>
      <c r="AK34" s="115"/>
      <c r="AL34" s="115"/>
      <c r="AM34" s="120"/>
      <c r="AN34" s="115"/>
      <c r="AO34" s="115"/>
      <c r="AP34" s="115"/>
      <c r="AQ34" s="115"/>
    </row>
    <row r="35" spans="2:43" ht="12.75" customHeight="1" x14ac:dyDescent="0.25">
      <c r="B35" s="241"/>
      <c r="C35" s="142"/>
      <c r="D35" s="138" t="s">
        <v>2974</v>
      </c>
      <c r="E35" s="239"/>
      <c r="F35" s="329"/>
      <c r="G35" s="445">
        <v>2000</v>
      </c>
      <c r="H35" s="329" t="s">
        <v>1573</v>
      </c>
      <c r="I35" s="561">
        <f>G35*$C$125</f>
        <v>1666.6666666666667</v>
      </c>
      <c r="J35" s="329" t="s">
        <v>1573</v>
      </c>
      <c r="K35" s="329"/>
      <c r="L35" s="241"/>
      <c r="M35" s="142"/>
      <c r="N35" s="221"/>
      <c r="O35" s="240"/>
      <c r="P35" s="345"/>
      <c r="Q35" s="419">
        <f>IF($G$8&lt;&gt;C117,I35*-1,G35*-1)</f>
        <v>-2000</v>
      </c>
      <c r="R35" s="420" t="s">
        <v>1573</v>
      </c>
      <c r="S35" s="347"/>
      <c r="U35" s="449"/>
      <c r="V35" s="99"/>
      <c r="W35" s="99"/>
      <c r="X35" s="99"/>
      <c r="Y35" s="99"/>
      <c r="Z35" s="99"/>
      <c r="AA35" s="99"/>
      <c r="AB35" s="448"/>
      <c r="AC35" s="120"/>
      <c r="AD35" s="115"/>
      <c r="AE35" s="532"/>
      <c r="AF35" s="532"/>
      <c r="AG35" s="532"/>
      <c r="AH35" s="115"/>
      <c r="AI35" s="115"/>
      <c r="AJ35" s="115"/>
      <c r="AK35" s="115"/>
      <c r="AL35" s="115"/>
      <c r="AM35" s="120"/>
      <c r="AN35" s="115"/>
      <c r="AO35" s="115"/>
      <c r="AP35" s="115"/>
      <c r="AQ35" s="115"/>
    </row>
    <row r="36" spans="2:43" ht="13.6" x14ac:dyDescent="0.25">
      <c r="B36" s="262"/>
      <c r="C36" s="682" t="str">
        <f>VLOOKUP($G$12,'Daten-Elektrofahrzeug'!C22:N269,'Daten-Elektrofahrzeug'!N5,FALSE)</f>
        <v>Info zur Akkugarantie: 8 Jahre bis 160.000 km</v>
      </c>
      <c r="D36" s="683"/>
      <c r="E36" s="495"/>
      <c r="F36" s="339"/>
      <c r="G36" s="329"/>
      <c r="H36" s="329"/>
      <c r="I36" s="329"/>
      <c r="J36" s="329"/>
      <c r="K36" s="330"/>
      <c r="L36" s="241"/>
      <c r="M36" s="142"/>
      <c r="N36" s="142"/>
      <c r="O36" s="239"/>
      <c r="P36" s="142"/>
      <c r="Q36" s="142"/>
      <c r="R36" s="433"/>
      <c r="S36" s="289"/>
      <c r="U36" s="449"/>
      <c r="V36" s="99"/>
      <c r="W36" s="99"/>
      <c r="X36" s="99"/>
      <c r="Y36" s="99"/>
      <c r="Z36" s="99"/>
      <c r="AA36" s="99"/>
      <c r="AB36" s="448"/>
      <c r="AC36" s="120"/>
      <c r="AD36" s="115"/>
      <c r="AE36" s="532"/>
      <c r="AF36" s="689" t="s">
        <v>2839</v>
      </c>
      <c r="AG36" s="689"/>
      <c r="AH36" s="689" t="s">
        <v>2840</v>
      </c>
      <c r="AI36" s="689"/>
      <c r="AJ36" s="689" t="s">
        <v>2841</v>
      </c>
      <c r="AK36" s="689"/>
      <c r="AL36" s="115"/>
      <c r="AM36" s="120"/>
      <c r="AN36" s="115"/>
      <c r="AO36" s="115"/>
      <c r="AP36" s="115"/>
      <c r="AQ36" s="115"/>
    </row>
    <row r="37" spans="2:43" ht="7.5" customHeight="1" x14ac:dyDescent="0.25">
      <c r="B37" s="262"/>
      <c r="C37" s="495"/>
      <c r="D37" s="495"/>
      <c r="E37" s="495"/>
      <c r="F37" s="339"/>
      <c r="G37" s="329"/>
      <c r="H37" s="329"/>
      <c r="I37" s="329"/>
      <c r="J37" s="329"/>
      <c r="K37" s="330"/>
      <c r="L37" s="142"/>
      <c r="M37" s="142"/>
      <c r="N37" s="142"/>
      <c r="O37" s="239"/>
      <c r="P37" s="142"/>
      <c r="Q37" s="142"/>
      <c r="R37" s="433"/>
      <c r="S37" s="289"/>
      <c r="U37" s="449"/>
      <c r="V37" s="99"/>
      <c r="W37" s="99"/>
      <c r="X37" s="99"/>
      <c r="Y37" s="99"/>
      <c r="Z37" s="99"/>
      <c r="AA37" s="99"/>
      <c r="AB37" s="448"/>
      <c r="AC37" s="120"/>
      <c r="AD37" s="115"/>
      <c r="AE37" s="532"/>
      <c r="AF37" s="532" t="str">
        <f>F10</f>
        <v>Elektrofahrzeug</v>
      </c>
      <c r="AG37" s="532" t="str">
        <f>L10</f>
        <v>Verbrennungs-Kfz</v>
      </c>
      <c r="AH37" s="532" t="str">
        <f>AF37</f>
        <v>Elektrofahrzeug</v>
      </c>
      <c r="AI37" s="532" t="str">
        <f>AG37</f>
        <v>Verbrennungs-Kfz</v>
      </c>
      <c r="AJ37" s="532" t="str">
        <f>AH37</f>
        <v>Elektrofahrzeug</v>
      </c>
      <c r="AK37" s="532" t="str">
        <f>AI37</f>
        <v>Verbrennungs-Kfz</v>
      </c>
      <c r="AL37" s="115"/>
      <c r="AM37" s="120"/>
      <c r="AN37" s="115"/>
      <c r="AO37" s="115"/>
      <c r="AP37" s="115"/>
      <c r="AQ37" s="115"/>
    </row>
    <row r="38" spans="2:43" ht="12.25" customHeight="1" x14ac:dyDescent="0.25">
      <c r="B38" s="234"/>
      <c r="C38" s="234"/>
      <c r="D38" s="234"/>
      <c r="E38" s="234"/>
      <c r="F38" s="234"/>
      <c r="G38" s="234"/>
      <c r="H38" s="234"/>
      <c r="I38" s="234"/>
      <c r="J38" s="234"/>
      <c r="K38" s="234"/>
      <c r="L38" s="234"/>
      <c r="M38" s="234"/>
      <c r="N38" s="238"/>
      <c r="O38" s="238"/>
      <c r="P38" s="238"/>
      <c r="Q38" s="238"/>
      <c r="R38" s="238"/>
      <c r="S38" s="238"/>
      <c r="U38" s="449"/>
      <c r="V38" s="99"/>
      <c r="W38" s="99"/>
      <c r="X38" s="99"/>
      <c r="Y38" s="99"/>
      <c r="Z38" s="99"/>
      <c r="AA38" s="99"/>
      <c r="AB38" s="448"/>
      <c r="AC38" s="120"/>
      <c r="AD38" s="115"/>
      <c r="AE38" s="532" t="s">
        <v>799</v>
      </c>
      <c r="AF38" s="536">
        <f>IF(G8&lt;&gt;C117,((I29+I31+I35)/AF8),(G29+G31+G35-G32)/AF8)</f>
        <v>2801.6666666666665</v>
      </c>
      <c r="AG38" s="536">
        <f>M29/AF8</f>
        <v>2249.1666666666665</v>
      </c>
      <c r="AH38" s="537">
        <f>AF38/12</f>
        <v>233.4722222222222</v>
      </c>
      <c r="AI38" s="537">
        <f>AG38/12</f>
        <v>187.43055555555554</v>
      </c>
      <c r="AJ38" s="538">
        <f>AH38/30.4</f>
        <v>7.6800073099415203</v>
      </c>
      <c r="AK38" s="538">
        <f>AI38/30.4</f>
        <v>6.1654788011695905</v>
      </c>
      <c r="AL38" s="115"/>
      <c r="AM38" s="120"/>
      <c r="AN38" s="115"/>
      <c r="AO38" s="115"/>
      <c r="AP38" s="115"/>
      <c r="AQ38" s="115"/>
    </row>
    <row r="39" spans="2:43" ht="18" customHeight="1" x14ac:dyDescent="0.25">
      <c r="B39" s="243"/>
      <c r="C39" s="244" t="s">
        <v>2555</v>
      </c>
      <c r="D39" s="244"/>
      <c r="E39" s="244"/>
      <c r="F39" s="690" t="s">
        <v>2507</v>
      </c>
      <c r="G39" s="691"/>
      <c r="H39" s="691"/>
      <c r="I39" s="691"/>
      <c r="J39" s="691"/>
      <c r="K39" s="692"/>
      <c r="L39" s="690" t="s">
        <v>2561</v>
      </c>
      <c r="M39" s="691"/>
      <c r="N39" s="691"/>
      <c r="O39" s="692"/>
      <c r="P39" s="690" t="s">
        <v>2850</v>
      </c>
      <c r="Q39" s="691"/>
      <c r="R39" s="691"/>
      <c r="S39" s="692"/>
      <c r="U39" s="449"/>
      <c r="V39" s="150" t="s">
        <v>2957</v>
      </c>
      <c r="W39" s="99"/>
      <c r="X39" s="99"/>
      <c r="Y39" s="99"/>
      <c r="Z39" s="99"/>
      <c r="AA39" s="99"/>
      <c r="AB39" s="448"/>
      <c r="AC39" s="120"/>
      <c r="AD39" s="115"/>
      <c r="AE39" s="532" t="s">
        <v>2601</v>
      </c>
      <c r="AF39" s="536">
        <f>IF(G8&lt;&gt;C117,SUM(I43:I48),SUM(G43:G48))</f>
        <v>705.4</v>
      </c>
      <c r="AG39" s="536">
        <f>SUM(M43:M48)</f>
        <v>1333.72</v>
      </c>
      <c r="AH39" s="537">
        <f t="shared" ref="AH39:AH40" si="0">AF39/12</f>
        <v>58.783333333333331</v>
      </c>
      <c r="AI39" s="537">
        <f t="shared" ref="AI39:AI40" si="1">AG39/12</f>
        <v>111.14333333333333</v>
      </c>
      <c r="AJ39" s="538">
        <f t="shared" ref="AJ39:AJ40" si="2">AH39/30.4</f>
        <v>1.9336622807017545</v>
      </c>
      <c r="AK39" s="538">
        <f t="shared" ref="AK39:AK40" si="3">AI39/30.4</f>
        <v>3.656030701754386</v>
      </c>
      <c r="AL39" s="115"/>
      <c r="AM39" s="120"/>
      <c r="AN39" s="115"/>
      <c r="AO39" s="115"/>
      <c r="AP39" s="115"/>
      <c r="AQ39" s="115"/>
    </row>
    <row r="40" spans="2:43" ht="7.5" customHeight="1" x14ac:dyDescent="0.25">
      <c r="B40" s="358"/>
      <c r="C40" s="349"/>
      <c r="D40" s="349"/>
      <c r="E40" s="349"/>
      <c r="F40" s="350"/>
      <c r="G40" s="491"/>
      <c r="H40" s="491"/>
      <c r="I40" s="492"/>
      <c r="J40" s="492"/>
      <c r="K40" s="493"/>
      <c r="L40" s="358"/>
      <c r="M40" s="494"/>
      <c r="N40" s="371"/>
      <c r="O40" s="372"/>
      <c r="P40" s="371"/>
      <c r="Q40" s="371"/>
      <c r="R40" s="371"/>
      <c r="S40" s="372"/>
      <c r="U40" s="449"/>
      <c r="V40" s="99"/>
      <c r="W40" s="99"/>
      <c r="X40" s="99"/>
      <c r="Y40" s="99"/>
      <c r="Z40" s="99"/>
      <c r="AA40" s="99"/>
      <c r="AB40" s="448"/>
      <c r="AC40" s="120"/>
      <c r="AD40" s="115"/>
      <c r="AE40" s="532" t="s">
        <v>2602</v>
      </c>
      <c r="AF40" s="536">
        <f>IF(G8&lt;&gt;C117,SUM(I61+I64),SUM(G61+G64))</f>
        <v>476.61894736842106</v>
      </c>
      <c r="AG40" s="536">
        <f>M61</f>
        <v>831.60000000000014</v>
      </c>
      <c r="AH40" s="537">
        <f t="shared" si="0"/>
        <v>39.718245614035091</v>
      </c>
      <c r="AI40" s="537">
        <f t="shared" si="1"/>
        <v>69.300000000000011</v>
      </c>
      <c r="AJ40" s="538">
        <f t="shared" si="2"/>
        <v>1.306521237303786</v>
      </c>
      <c r="AK40" s="538">
        <f t="shared" si="3"/>
        <v>2.2796052631578951</v>
      </c>
      <c r="AL40" s="115"/>
      <c r="AM40" s="120"/>
      <c r="AN40" s="115"/>
      <c r="AO40" s="115"/>
      <c r="AP40" s="115"/>
      <c r="AQ40" s="115"/>
    </row>
    <row r="41" spans="2:43" ht="13.6" x14ac:dyDescent="0.25">
      <c r="B41" s="241"/>
      <c r="C41" s="138"/>
      <c r="D41" s="138"/>
      <c r="E41" s="138"/>
      <c r="F41" s="325"/>
      <c r="G41" s="500" t="s">
        <v>2883</v>
      </c>
      <c r="H41" s="329"/>
      <c r="I41" s="500" t="s">
        <v>2884</v>
      </c>
      <c r="J41" s="329"/>
      <c r="K41" s="330"/>
      <c r="L41" s="241"/>
      <c r="M41" s="214"/>
      <c r="N41" s="142"/>
      <c r="O41" s="239"/>
      <c r="P41" s="221"/>
      <c r="Q41" s="222"/>
      <c r="R41" s="222"/>
      <c r="S41" s="240"/>
      <c r="U41" s="449"/>
      <c r="V41" s="99"/>
      <c r="W41" s="99"/>
      <c r="X41" s="99"/>
      <c r="Y41" s="99"/>
      <c r="Z41" s="99"/>
      <c r="AA41" s="99"/>
      <c r="AB41" s="448"/>
      <c r="AC41" s="120"/>
      <c r="AD41" s="115"/>
      <c r="AE41" s="532" t="s">
        <v>2814</v>
      </c>
      <c r="AF41" s="536">
        <f t="shared" ref="AF41:AK41" si="4">SUM(AF38:AF40)</f>
        <v>3983.6856140350878</v>
      </c>
      <c r="AG41" s="536">
        <f t="shared" si="4"/>
        <v>4414.4866666666667</v>
      </c>
      <c r="AH41" s="536">
        <f t="shared" si="4"/>
        <v>331.97380116959062</v>
      </c>
      <c r="AI41" s="536">
        <f t="shared" si="4"/>
        <v>367.87388888888887</v>
      </c>
      <c r="AJ41" s="539">
        <f t="shared" si="4"/>
        <v>10.92019082794706</v>
      </c>
      <c r="AK41" s="539">
        <f t="shared" si="4"/>
        <v>12.101114766081873</v>
      </c>
      <c r="AL41" s="115"/>
      <c r="AM41" s="120"/>
      <c r="AN41" s="115"/>
      <c r="AO41" s="115"/>
      <c r="AP41" s="115"/>
      <c r="AQ41" s="115"/>
    </row>
    <row r="42" spans="2:43" ht="13.6" x14ac:dyDescent="0.25">
      <c r="B42" s="241"/>
      <c r="C42" s="450" t="s">
        <v>2572</v>
      </c>
      <c r="D42" s="138" t="s">
        <v>2859</v>
      </c>
      <c r="E42" s="138"/>
      <c r="F42" s="325"/>
      <c r="G42" s="329"/>
      <c r="H42" s="329"/>
      <c r="I42" s="329"/>
      <c r="J42" s="329"/>
      <c r="K42" s="330"/>
      <c r="L42" s="241"/>
      <c r="M42" s="214"/>
      <c r="N42" s="142"/>
      <c r="O42" s="239"/>
      <c r="P42" s="221"/>
      <c r="Q42" s="222"/>
      <c r="R42" s="222"/>
      <c r="S42" s="240"/>
      <c r="U42" s="449"/>
      <c r="V42" s="99"/>
      <c r="W42" s="99"/>
      <c r="X42" s="99"/>
      <c r="Y42" s="99"/>
      <c r="Z42" s="99"/>
      <c r="AA42" s="99"/>
      <c r="AB42" s="448"/>
      <c r="AC42" s="120"/>
      <c r="AD42" s="115"/>
      <c r="AE42" s="532" t="s">
        <v>2815</v>
      </c>
      <c r="AF42" s="540">
        <f>AF41/$G$7</f>
        <v>0.28454897243107768</v>
      </c>
      <c r="AG42" s="540">
        <f>AG41/$G$7</f>
        <v>0.31532047619047621</v>
      </c>
      <c r="AH42" s="115"/>
      <c r="AI42" s="115"/>
      <c r="AJ42" s="115"/>
      <c r="AK42" s="115"/>
      <c r="AL42" s="115"/>
      <c r="AM42" s="120"/>
      <c r="AN42" s="115"/>
      <c r="AO42" s="115"/>
      <c r="AP42" s="115"/>
      <c r="AQ42" s="115"/>
    </row>
    <row r="43" spans="2:43" ht="13.6" x14ac:dyDescent="0.25">
      <c r="B43" s="241"/>
      <c r="C43" s="442"/>
      <c r="D43" s="443" t="s">
        <v>2860</v>
      </c>
      <c r="E43" s="138"/>
      <c r="F43" s="325"/>
      <c r="G43" s="503">
        <v>0</v>
      </c>
      <c r="H43" s="329" t="s">
        <v>2552</v>
      </c>
      <c r="I43" s="503">
        <v>0</v>
      </c>
      <c r="J43" s="329" t="s">
        <v>2552</v>
      </c>
      <c r="K43" s="330"/>
      <c r="L43" s="241"/>
      <c r="M43" s="214">
        <f>'Motorbez. Versicherungssteuer'!E2</f>
        <v>328.32</v>
      </c>
      <c r="N43" s="142" t="s">
        <v>2552</v>
      </c>
      <c r="O43" s="239"/>
      <c r="P43" s="221"/>
      <c r="Q43" s="425">
        <f>M43-G43</f>
        <v>328.32</v>
      </c>
      <c r="R43" s="426" t="s">
        <v>1573</v>
      </c>
      <c r="S43" s="240"/>
      <c r="U43" s="322"/>
      <c r="V43" s="165"/>
      <c r="W43" s="99"/>
      <c r="X43" s="99"/>
      <c r="Y43" s="99"/>
      <c r="Z43" s="10"/>
      <c r="AA43" s="10"/>
      <c r="AB43" s="319"/>
      <c r="AC43" s="120"/>
      <c r="AD43" s="115"/>
      <c r="AE43" s="532" t="s">
        <v>2966</v>
      </c>
      <c r="AF43" s="540">
        <f>AF40/$G$7*100</f>
        <v>3.4044210526315788</v>
      </c>
      <c r="AG43" s="540">
        <f>AG40/$G$7*100</f>
        <v>5.9400000000000013</v>
      </c>
      <c r="AH43" s="115"/>
      <c r="AI43" s="115"/>
      <c r="AJ43" s="115"/>
      <c r="AK43" s="115"/>
      <c r="AL43" s="115"/>
      <c r="AM43" s="120"/>
      <c r="AN43" s="115"/>
      <c r="AO43" s="115"/>
      <c r="AP43" s="115"/>
      <c r="AQ43" s="115"/>
    </row>
    <row r="44" spans="2:43" ht="13.6" x14ac:dyDescent="0.25">
      <c r="B44" s="241"/>
      <c r="C44" s="138"/>
      <c r="D44" s="138" t="s">
        <v>2862</v>
      </c>
      <c r="E44" s="138"/>
      <c r="F44" s="325"/>
      <c r="G44" s="451">
        <v>300</v>
      </c>
      <c r="H44" s="329" t="s">
        <v>2552</v>
      </c>
      <c r="I44" s="561">
        <f>G44</f>
        <v>300</v>
      </c>
      <c r="J44" s="329" t="s">
        <v>2552</v>
      </c>
      <c r="K44" s="330"/>
      <c r="L44" s="241"/>
      <c r="M44" s="451">
        <v>300</v>
      </c>
      <c r="N44" s="142" t="s">
        <v>2552</v>
      </c>
      <c r="O44" s="239"/>
      <c r="P44" s="221"/>
      <c r="Q44" s="425">
        <f>IF($G$8&lt;&gt;C117,M44-I44,M44-G44)</f>
        <v>0</v>
      </c>
      <c r="R44" s="426" t="s">
        <v>1573</v>
      </c>
      <c r="S44" s="239"/>
      <c r="U44" s="323"/>
      <c r="V44" s="146"/>
      <c r="W44" s="146"/>
      <c r="X44" s="99"/>
      <c r="Y44" s="99"/>
      <c r="Z44" s="10"/>
      <c r="AA44" s="10"/>
      <c r="AB44" s="319"/>
      <c r="AC44" s="120"/>
      <c r="AD44" s="115"/>
      <c r="AE44" s="532"/>
      <c r="AF44" s="532"/>
      <c r="AG44" s="532"/>
      <c r="AH44" s="115"/>
      <c r="AI44" s="115"/>
      <c r="AJ44" s="115"/>
      <c r="AK44" s="115"/>
      <c r="AL44" s="115"/>
      <c r="AM44" s="120"/>
      <c r="AN44" s="115"/>
      <c r="AO44" s="115"/>
      <c r="AP44" s="115"/>
      <c r="AQ44" s="115"/>
    </row>
    <row r="45" spans="2:43" ht="12.75" customHeight="1" x14ac:dyDescent="0.25">
      <c r="B45" s="241"/>
      <c r="C45" s="450">
        <v>0.6</v>
      </c>
      <c r="D45" s="138" t="str">
        <f>"Wartungseinsparung("&amp;C45*100&amp;"%):"</f>
        <v>Wartungseinsparung(60%):</v>
      </c>
      <c r="E45" s="138"/>
      <c r="F45" s="325"/>
      <c r="G45" s="333">
        <f>M45*(1-C45)</f>
        <v>200</v>
      </c>
      <c r="H45" s="329" t="s">
        <v>2552</v>
      </c>
      <c r="I45" s="561">
        <f t="shared" ref="I45:I48" si="5">G45*$C$125</f>
        <v>166.66666666666669</v>
      </c>
      <c r="J45" s="329" t="s">
        <v>2552</v>
      </c>
      <c r="K45" s="330"/>
      <c r="L45" s="241"/>
      <c r="M45" s="451">
        <v>500</v>
      </c>
      <c r="N45" s="142" t="s">
        <v>2552</v>
      </c>
      <c r="O45" s="239"/>
      <c r="P45" s="142"/>
      <c r="Q45" s="425">
        <f>IF($G$8&lt;&gt;C117,M45-I45,M45-G45)</f>
        <v>300</v>
      </c>
      <c r="R45" s="426" t="s">
        <v>1573</v>
      </c>
      <c r="S45" s="240"/>
      <c r="U45" s="318"/>
      <c r="V45" s="161"/>
      <c r="W45" s="10"/>
      <c r="X45" s="10"/>
      <c r="Y45" s="10"/>
      <c r="Z45" s="10"/>
      <c r="AA45" s="10"/>
      <c r="AB45" s="319"/>
      <c r="AC45" s="120"/>
      <c r="AD45" s="115"/>
      <c r="AE45" s="532"/>
      <c r="AF45" s="532"/>
      <c r="AG45" s="532"/>
      <c r="AH45" s="115"/>
      <c r="AI45" s="115"/>
      <c r="AJ45" s="115"/>
      <c r="AK45" s="115"/>
      <c r="AL45" s="115"/>
      <c r="AM45" s="120"/>
      <c r="AN45" s="115"/>
      <c r="AO45" s="115"/>
      <c r="AP45" s="115"/>
      <c r="AQ45" s="115"/>
    </row>
    <row r="46" spans="2:43" ht="13.6" x14ac:dyDescent="0.25">
      <c r="B46" s="241"/>
      <c r="C46" s="138"/>
      <c r="D46" s="138" t="s">
        <v>2816</v>
      </c>
      <c r="E46" s="138"/>
      <c r="F46" s="325"/>
      <c r="G46" s="451">
        <v>121</v>
      </c>
      <c r="H46" s="329" t="s">
        <v>2552</v>
      </c>
      <c r="I46" s="561">
        <f t="shared" si="5"/>
        <v>100.83333333333334</v>
      </c>
      <c r="J46" s="329" t="s">
        <v>2552</v>
      </c>
      <c r="K46" s="330"/>
      <c r="L46" s="241"/>
      <c r="M46" s="451">
        <v>121</v>
      </c>
      <c r="N46" s="142" t="s">
        <v>2552</v>
      </c>
      <c r="O46" s="239"/>
      <c r="P46" s="142"/>
      <c r="Q46" s="425">
        <f>IF($G$8&lt;&gt;C117,M46-I46,M46-G46)</f>
        <v>0</v>
      </c>
      <c r="R46" s="426" t="s">
        <v>1573</v>
      </c>
      <c r="S46" s="240"/>
      <c r="U46" s="320"/>
      <c r="V46" s="10"/>
      <c r="W46" s="10"/>
      <c r="X46" s="100"/>
      <c r="Y46" s="12"/>
      <c r="Z46" s="10"/>
      <c r="AA46" s="10"/>
      <c r="AB46" s="324"/>
      <c r="AC46" s="120"/>
      <c r="AD46" s="115"/>
      <c r="AE46" s="115"/>
      <c r="AF46" s="115"/>
      <c r="AG46" s="115"/>
      <c r="AH46" s="115"/>
      <c r="AI46" s="115"/>
      <c r="AJ46" s="115"/>
      <c r="AK46" s="115"/>
      <c r="AL46" s="115"/>
      <c r="AM46" s="120"/>
      <c r="AN46" s="115"/>
      <c r="AO46" s="115"/>
      <c r="AP46" s="115"/>
      <c r="AQ46" s="115"/>
    </row>
    <row r="47" spans="2:43" ht="13.6" x14ac:dyDescent="0.25">
      <c r="B47" s="262"/>
      <c r="C47" s="150"/>
      <c r="D47" s="138" t="s">
        <v>2817</v>
      </c>
      <c r="E47" s="150"/>
      <c r="F47" s="339"/>
      <c r="G47" s="451">
        <v>84.4</v>
      </c>
      <c r="H47" s="329" t="s">
        <v>2552</v>
      </c>
      <c r="I47" s="561">
        <f t="shared" si="5"/>
        <v>70.333333333333343</v>
      </c>
      <c r="J47" s="329" t="s">
        <v>2552</v>
      </c>
      <c r="K47" s="330"/>
      <c r="L47" s="241"/>
      <c r="M47" s="451">
        <v>84.4</v>
      </c>
      <c r="N47" s="142" t="s">
        <v>2552</v>
      </c>
      <c r="O47" s="239"/>
      <c r="P47" s="142"/>
      <c r="Q47" s="425">
        <f>IF($G$8&lt;&gt;C117,M47-I47,M47-G47)</f>
        <v>0</v>
      </c>
      <c r="R47" s="426" t="s">
        <v>1573</v>
      </c>
      <c r="S47" s="289"/>
      <c r="T47" s="435"/>
      <c r="U47" s="161"/>
      <c r="V47" s="161"/>
      <c r="W47" s="10"/>
      <c r="X47" s="10"/>
      <c r="Y47" s="10"/>
      <c r="Z47" s="10"/>
      <c r="AA47" s="10"/>
      <c r="AB47" s="319"/>
      <c r="AC47" s="120"/>
      <c r="AD47" s="115"/>
      <c r="AE47" s="115"/>
      <c r="AF47" s="115"/>
      <c r="AG47" s="115"/>
      <c r="AH47" s="115"/>
      <c r="AI47" s="115"/>
      <c r="AJ47" s="115"/>
      <c r="AK47" s="115"/>
      <c r="AL47" s="115"/>
      <c r="AM47" s="120"/>
      <c r="AN47" s="115"/>
      <c r="AO47" s="115"/>
      <c r="AP47" s="115"/>
      <c r="AQ47" s="115"/>
    </row>
    <row r="48" spans="2:43" ht="15.65" x14ac:dyDescent="0.25">
      <c r="B48" s="262"/>
      <c r="C48" s="450">
        <v>0.3</v>
      </c>
      <c r="D48" s="550" t="s">
        <v>3125</v>
      </c>
      <c r="E48" s="150"/>
      <c r="F48" s="339"/>
      <c r="G48" s="333">
        <v>0</v>
      </c>
      <c r="H48" s="329" t="s">
        <v>2552</v>
      </c>
      <c r="I48" s="504">
        <f t="shared" si="5"/>
        <v>0</v>
      </c>
      <c r="J48" s="329" t="s">
        <v>2552</v>
      </c>
      <c r="K48" s="330"/>
      <c r="L48" s="241"/>
      <c r="M48" s="505">
        <f>IF(OR(G8=C117,G8=C118),0,IF(G8=C119,(VLOOKUP($M$12,'Daten-Benzin-Dieselfahrzeug'!C6:O215,'Daten-Benzin-Dieselfahrzeug'!K5,FALSE))*6,(VLOOKUP($M$12,'Daten-Benzin-Dieselfahrzeug'!C6:O215,'Daten-Benzin-Dieselfahrzeug'!K5,FALSE))*12))</f>
        <v>0</v>
      </c>
      <c r="N48" s="142" t="s">
        <v>2552</v>
      </c>
      <c r="O48" s="239"/>
      <c r="P48" s="142"/>
      <c r="Q48" s="425">
        <f>IF($G$8&lt;&gt;C117,M48-I48,M48-G48)</f>
        <v>0</v>
      </c>
      <c r="R48" s="428" t="s">
        <v>1573</v>
      </c>
      <c r="S48" s="289"/>
      <c r="T48" s="435"/>
      <c r="U48" s="161"/>
      <c r="V48" s="161"/>
      <c r="W48" s="10"/>
      <c r="X48" s="10"/>
      <c r="Y48" s="10"/>
      <c r="Z48" s="10"/>
      <c r="AA48" s="10"/>
      <c r="AB48" s="10"/>
      <c r="AC48" s="120"/>
      <c r="AD48" s="115"/>
      <c r="AE48" s="120"/>
      <c r="AF48" s="120"/>
      <c r="AG48" s="120"/>
      <c r="AH48" s="120"/>
      <c r="AI48" s="120"/>
      <c r="AJ48" s="120"/>
      <c r="AK48" s="120"/>
      <c r="AL48" s="120"/>
      <c r="AM48" s="120"/>
      <c r="AN48" s="115"/>
      <c r="AO48" s="115"/>
      <c r="AP48" s="115"/>
      <c r="AQ48" s="115"/>
    </row>
    <row r="49" spans="1:43" ht="13.6" x14ac:dyDescent="0.25">
      <c r="B49" s="262"/>
      <c r="C49" s="150"/>
      <c r="D49" s="572" t="str">
        <f>IF(OR(C117=G8,C118=G8),"","(Arbeitnehmervorteile bleiben unberücksichtigt!)")</f>
        <v/>
      </c>
      <c r="E49" s="150"/>
      <c r="F49" s="339"/>
      <c r="G49" s="329"/>
      <c r="H49" s="329"/>
      <c r="I49" s="329"/>
      <c r="J49" s="329"/>
      <c r="K49" s="330"/>
      <c r="L49" s="241"/>
      <c r="M49" s="142"/>
      <c r="N49" s="142"/>
      <c r="O49" s="239"/>
      <c r="P49" s="142"/>
      <c r="Q49" s="501">
        <f>SUM(Q43:Q48)</f>
        <v>628.31999999999994</v>
      </c>
      <c r="R49" s="502" t="s">
        <v>1573</v>
      </c>
      <c r="S49" s="289"/>
      <c r="T49" s="435"/>
      <c r="U49" s="161"/>
      <c r="V49" s="161"/>
      <c r="W49" s="10"/>
      <c r="X49" s="10"/>
      <c r="Y49" s="10"/>
      <c r="Z49" s="10"/>
      <c r="AA49" s="10"/>
      <c r="AB49" s="10"/>
      <c r="AC49" s="120"/>
      <c r="AD49" s="115"/>
      <c r="AE49" s="120"/>
      <c r="AF49" s="120"/>
      <c r="AG49" s="120"/>
      <c r="AH49" s="120"/>
      <c r="AI49" s="120"/>
      <c r="AJ49" s="120"/>
      <c r="AK49" s="120"/>
      <c r="AL49" s="120"/>
      <c r="AM49" s="120"/>
      <c r="AN49" s="115"/>
      <c r="AO49" s="115"/>
      <c r="AP49" s="115"/>
      <c r="AQ49" s="115"/>
    </row>
    <row r="50" spans="1:43" ht="7.5" customHeight="1" x14ac:dyDescent="0.25">
      <c r="B50" s="290"/>
      <c r="C50" s="291"/>
      <c r="D50" s="291"/>
      <c r="E50" s="291"/>
      <c r="F50" s="335"/>
      <c r="G50" s="331"/>
      <c r="H50" s="331"/>
      <c r="I50" s="331"/>
      <c r="J50" s="331"/>
      <c r="K50" s="332"/>
      <c r="L50" s="258"/>
      <c r="M50" s="259"/>
      <c r="N50" s="259"/>
      <c r="O50" s="260"/>
      <c r="P50" s="259"/>
      <c r="Q50" s="259"/>
      <c r="R50" s="292"/>
      <c r="S50" s="293"/>
      <c r="T50" s="435"/>
      <c r="U50" s="161"/>
      <c r="V50" s="161"/>
      <c r="W50" s="10"/>
      <c r="X50" s="10"/>
      <c r="Y50" s="10"/>
      <c r="Z50" s="10"/>
      <c r="AA50" s="10"/>
      <c r="AB50" s="10"/>
      <c r="AC50" s="120"/>
      <c r="AD50" s="115"/>
      <c r="AE50" s="120"/>
      <c r="AF50" s="120"/>
      <c r="AG50" s="120"/>
      <c r="AH50" s="120"/>
      <c r="AI50" s="120"/>
      <c r="AJ50" s="120"/>
      <c r="AK50" s="120"/>
      <c r="AL50" s="120"/>
      <c r="AM50" s="120"/>
      <c r="AN50" s="115"/>
      <c r="AO50" s="115"/>
      <c r="AP50" s="115"/>
      <c r="AQ50" s="115"/>
    </row>
    <row r="51" spans="1:43" ht="12.25" customHeight="1" x14ac:dyDescent="0.25">
      <c r="A51" s="232"/>
      <c r="B51" s="232"/>
      <c r="C51" s="232"/>
      <c r="D51" s="232"/>
      <c r="E51" s="232"/>
      <c r="F51" s="276"/>
      <c r="G51" s="234"/>
      <c r="H51" s="234"/>
      <c r="I51" s="234"/>
      <c r="J51" s="234"/>
      <c r="K51" s="277"/>
      <c r="L51" s="278"/>
      <c r="M51" s="234"/>
      <c r="N51" s="234"/>
      <c r="O51" s="277"/>
      <c r="P51" s="234"/>
      <c r="Q51" s="234"/>
      <c r="R51" s="279"/>
      <c r="S51" s="279"/>
      <c r="U51" s="163"/>
      <c r="V51" s="163"/>
      <c r="W51" s="163"/>
      <c r="X51" s="268"/>
      <c r="Y51" s="268"/>
      <c r="Z51" s="268"/>
      <c r="AA51" s="268"/>
      <c r="AB51" s="268"/>
      <c r="AC51" s="120"/>
      <c r="AD51" s="115"/>
      <c r="AE51" s="120"/>
      <c r="AF51" s="120"/>
      <c r="AG51" s="120"/>
      <c r="AH51" s="120"/>
      <c r="AI51" s="120"/>
      <c r="AJ51" s="120"/>
      <c r="AK51" s="120"/>
      <c r="AL51" s="120"/>
      <c r="AM51" s="120"/>
      <c r="AN51" s="115"/>
      <c r="AO51" s="115"/>
      <c r="AP51" s="115"/>
      <c r="AQ51" s="115"/>
    </row>
    <row r="52" spans="1:43" ht="18" customHeight="1" x14ac:dyDescent="0.3">
      <c r="A52" s="232"/>
      <c r="B52" s="243"/>
      <c r="C52" s="244" t="s">
        <v>2559</v>
      </c>
      <c r="D52" s="244"/>
      <c r="E52" s="244"/>
      <c r="F52" s="690" t="s">
        <v>2507</v>
      </c>
      <c r="G52" s="691"/>
      <c r="H52" s="691"/>
      <c r="I52" s="691"/>
      <c r="J52" s="691"/>
      <c r="K52" s="692"/>
      <c r="L52" s="690" t="s">
        <v>2561</v>
      </c>
      <c r="M52" s="691"/>
      <c r="N52" s="691"/>
      <c r="O52" s="692"/>
      <c r="P52" s="690" t="s">
        <v>2850</v>
      </c>
      <c r="Q52" s="691"/>
      <c r="R52" s="691"/>
      <c r="S52" s="692"/>
      <c r="U52" s="243"/>
      <c r="V52" s="244" t="s">
        <v>2970</v>
      </c>
      <c r="W52" s="245"/>
      <c r="X52" s="245"/>
      <c r="Y52" s="245"/>
      <c r="Z52" s="245"/>
      <c r="AA52" s="246"/>
      <c r="AB52" s="247"/>
      <c r="AC52" s="120"/>
      <c r="AD52" s="115"/>
      <c r="AE52" s="120"/>
      <c r="AF52" s="120"/>
      <c r="AG52" s="120"/>
      <c r="AH52" s="120"/>
      <c r="AI52" s="120"/>
      <c r="AJ52" s="120"/>
      <c r="AK52" s="120"/>
      <c r="AL52" s="120"/>
      <c r="AM52" s="120"/>
      <c r="AN52" s="115"/>
      <c r="AO52" s="115"/>
      <c r="AP52" s="115"/>
      <c r="AQ52" s="115"/>
    </row>
    <row r="53" spans="1:43" ht="7.5" customHeight="1" x14ac:dyDescent="0.25">
      <c r="B53" s="348"/>
      <c r="C53" s="349"/>
      <c r="D53" s="349"/>
      <c r="E53" s="349"/>
      <c r="F53" s="350"/>
      <c r="G53" s="500"/>
      <c r="H53" s="351"/>
      <c r="I53" s="500"/>
      <c r="J53" s="352"/>
      <c r="K53" s="353"/>
      <c r="L53" s="354"/>
      <c r="M53" s="355"/>
      <c r="N53" s="356"/>
      <c r="O53" s="357"/>
      <c r="P53" s="358"/>
      <c r="Q53" s="359"/>
      <c r="R53" s="360"/>
      <c r="S53" s="361"/>
      <c r="T53" s="3"/>
      <c r="U53" s="314"/>
      <c r="V53" s="315"/>
      <c r="W53" s="316"/>
      <c r="X53" s="316"/>
      <c r="Y53" s="316"/>
      <c r="Z53" s="316"/>
      <c r="AA53" s="316"/>
      <c r="AB53" s="317"/>
      <c r="AC53" s="509"/>
      <c r="AD53" s="115"/>
      <c r="AE53" s="120"/>
      <c r="AF53" s="120"/>
      <c r="AG53" s="120"/>
      <c r="AH53" s="120"/>
      <c r="AI53" s="120"/>
      <c r="AJ53" s="120"/>
      <c r="AK53" s="120"/>
      <c r="AL53" s="120"/>
      <c r="AM53" s="120"/>
      <c r="AN53" s="115"/>
      <c r="AO53" s="115"/>
      <c r="AP53" s="115"/>
      <c r="AQ53" s="115"/>
    </row>
    <row r="54" spans="1:43" ht="13.6" x14ac:dyDescent="0.25">
      <c r="B54" s="362"/>
      <c r="C54" s="144" t="s">
        <v>2958</v>
      </c>
      <c r="D54" s="138"/>
      <c r="E54" s="138"/>
      <c r="F54" s="325"/>
      <c r="G54" s="510" t="s">
        <v>2883</v>
      </c>
      <c r="H54" s="507"/>
      <c r="I54" s="510" t="s">
        <v>2884</v>
      </c>
      <c r="J54" s="327"/>
      <c r="K54" s="328"/>
      <c r="L54" s="270"/>
      <c r="M54" s="218"/>
      <c r="N54" s="216"/>
      <c r="O54" s="269"/>
      <c r="P54" s="241"/>
      <c r="Q54" s="508"/>
      <c r="R54" s="273"/>
      <c r="S54" s="240"/>
      <c r="U54" s="318"/>
      <c r="V54" s="161"/>
      <c r="W54" s="10"/>
      <c r="X54" s="10"/>
      <c r="Y54" s="10"/>
      <c r="Z54" s="10"/>
      <c r="AA54" s="10"/>
      <c r="AB54" s="319"/>
      <c r="AC54" s="120"/>
      <c r="AD54" s="115"/>
      <c r="AE54" s="115"/>
      <c r="AF54" s="115"/>
      <c r="AG54" s="115"/>
      <c r="AH54" s="115"/>
      <c r="AI54" s="115"/>
      <c r="AJ54" s="115"/>
      <c r="AK54" s="115"/>
      <c r="AL54" s="115"/>
      <c r="AM54" s="115"/>
      <c r="AN54" s="115"/>
      <c r="AO54" s="115"/>
      <c r="AP54" s="115"/>
      <c r="AQ54" s="115"/>
    </row>
    <row r="55" spans="1:43" ht="13.6" x14ac:dyDescent="0.25">
      <c r="B55" s="362"/>
      <c r="C55" s="138"/>
      <c r="D55" s="138" t="s">
        <v>2587</v>
      </c>
      <c r="E55" s="138"/>
      <c r="F55" s="325"/>
      <c r="G55" s="452">
        <v>0.9</v>
      </c>
      <c r="H55" s="327"/>
      <c r="I55" s="327"/>
      <c r="J55" s="327"/>
      <c r="K55" s="328"/>
      <c r="L55" s="270"/>
      <c r="M55" s="218"/>
      <c r="N55" s="216"/>
      <c r="O55" s="269"/>
      <c r="P55" s="241"/>
      <c r="Q55" s="288"/>
      <c r="R55" s="273"/>
      <c r="S55" s="240"/>
      <c r="U55" s="318"/>
      <c r="V55" s="161"/>
      <c r="W55" s="10"/>
      <c r="X55" s="10"/>
      <c r="Y55" s="10"/>
      <c r="Z55" s="10"/>
      <c r="AA55" s="10"/>
      <c r="AB55" s="319"/>
      <c r="AC55" s="120"/>
      <c r="AD55" s="115"/>
      <c r="AE55" s="115"/>
      <c r="AF55" s="115"/>
      <c r="AG55" s="115"/>
      <c r="AH55" s="115"/>
      <c r="AI55" s="115"/>
      <c r="AJ55" s="115"/>
      <c r="AK55" s="115"/>
      <c r="AL55" s="115"/>
      <c r="AM55" s="115"/>
      <c r="AN55" s="115"/>
      <c r="AO55" s="115"/>
      <c r="AP55" s="115"/>
      <c r="AQ55" s="115"/>
    </row>
    <row r="56" spans="1:43" ht="13.6" x14ac:dyDescent="0.25">
      <c r="B56" s="362"/>
      <c r="C56" s="138"/>
      <c r="D56" s="138" t="s">
        <v>2835</v>
      </c>
      <c r="E56" s="138"/>
      <c r="F56" s="325"/>
      <c r="G56" s="453">
        <v>19</v>
      </c>
      <c r="H56" s="327" t="s">
        <v>2885</v>
      </c>
      <c r="I56" s="562">
        <f>G56*$C$125</f>
        <v>15.833333333333334</v>
      </c>
      <c r="J56" s="327" t="s">
        <v>2885</v>
      </c>
      <c r="K56" s="328"/>
      <c r="L56" s="270"/>
      <c r="M56" s="218"/>
      <c r="N56" s="216"/>
      <c r="O56" s="269"/>
      <c r="P56" s="241"/>
      <c r="Q56" s="288"/>
      <c r="R56" s="273"/>
      <c r="S56" s="240"/>
      <c r="U56" s="318"/>
      <c r="V56" s="161"/>
      <c r="W56" s="10"/>
      <c r="X56" s="10"/>
      <c r="Y56" s="10"/>
      <c r="Z56" s="10"/>
      <c r="AA56" s="10"/>
      <c r="AB56" s="319"/>
      <c r="AC56" s="120"/>
      <c r="AD56" s="115"/>
      <c r="AE56" s="115"/>
      <c r="AF56" s="115"/>
      <c r="AG56" s="115"/>
      <c r="AH56" s="115"/>
      <c r="AI56" s="115"/>
      <c r="AJ56" s="115"/>
      <c r="AK56" s="115"/>
      <c r="AL56" s="115"/>
      <c r="AM56" s="115"/>
      <c r="AN56" s="115"/>
      <c r="AO56" s="115"/>
      <c r="AP56" s="115"/>
      <c r="AQ56" s="115"/>
    </row>
    <row r="57" spans="1:43" ht="13.6" x14ac:dyDescent="0.25">
      <c r="B57" s="362"/>
      <c r="C57" s="149"/>
      <c r="D57" s="138" t="s">
        <v>2836</v>
      </c>
      <c r="E57" s="138"/>
      <c r="F57" s="325"/>
      <c r="G57" s="453">
        <v>35</v>
      </c>
      <c r="H57" s="327" t="s">
        <v>2885</v>
      </c>
      <c r="I57" s="562">
        <f>G57*$C$125</f>
        <v>29.166666666666668</v>
      </c>
      <c r="J57" s="327" t="s">
        <v>2885</v>
      </c>
      <c r="K57" s="328"/>
      <c r="L57" s="270"/>
      <c r="M57" s="218"/>
      <c r="N57" s="216"/>
      <c r="O57" s="269"/>
      <c r="P57" s="241"/>
      <c r="Q57" s="288"/>
      <c r="R57" s="273"/>
      <c r="S57" s="289"/>
      <c r="U57" s="318"/>
      <c r="V57" s="161"/>
      <c r="W57" s="10"/>
      <c r="X57" s="10"/>
      <c r="Y57" s="10"/>
      <c r="Z57" s="10"/>
      <c r="AA57" s="10"/>
      <c r="AB57" s="319"/>
      <c r="AC57" s="120"/>
      <c r="AD57" s="115"/>
      <c r="AE57" s="115"/>
      <c r="AF57" s="546"/>
      <c r="AG57" s="546" t="s">
        <v>2570</v>
      </c>
      <c r="AH57" s="546" t="s">
        <v>2576</v>
      </c>
      <c r="AI57" s="546" t="s">
        <v>2577</v>
      </c>
      <c r="AJ57" s="546" t="s">
        <v>2571</v>
      </c>
      <c r="AK57" s="115"/>
      <c r="AL57" s="115"/>
      <c r="AM57" s="115"/>
      <c r="AN57" s="115"/>
      <c r="AO57" s="115"/>
      <c r="AP57" s="115"/>
      <c r="AQ57" s="115"/>
    </row>
    <row r="58" spans="1:43" ht="13.6" x14ac:dyDescent="0.25">
      <c r="B58" s="362"/>
      <c r="C58" s="149"/>
      <c r="D58" s="138" t="s">
        <v>2837</v>
      </c>
      <c r="E58" s="138"/>
      <c r="F58" s="325"/>
      <c r="G58" s="326">
        <f>G56*$G$55+G57*(1-$G$55)</f>
        <v>20.6</v>
      </c>
      <c r="H58" s="327" t="s">
        <v>2885</v>
      </c>
      <c r="I58" s="326">
        <f>I56*$G$55+I57*(1-$G$55)</f>
        <v>17.166666666666664</v>
      </c>
      <c r="J58" s="327" t="s">
        <v>2885</v>
      </c>
      <c r="K58" s="328"/>
      <c r="L58" s="270"/>
      <c r="M58" s="218"/>
      <c r="N58" s="216"/>
      <c r="O58" s="269"/>
      <c r="P58" s="241"/>
      <c r="Q58" s="288"/>
      <c r="R58" s="273"/>
      <c r="S58" s="289"/>
      <c r="U58" s="318"/>
      <c r="V58" s="161"/>
      <c r="W58" s="10"/>
      <c r="X58" s="10"/>
      <c r="Y58" s="10"/>
      <c r="Z58" s="10"/>
      <c r="AA58" s="10"/>
      <c r="AB58" s="319"/>
      <c r="AC58" s="120"/>
      <c r="AD58" s="115"/>
      <c r="AE58" s="115"/>
      <c r="AF58" s="546" t="s">
        <v>2572</v>
      </c>
      <c r="AG58" s="546">
        <v>0</v>
      </c>
      <c r="AH58" s="546">
        <v>0.62</v>
      </c>
      <c r="AI58" s="546">
        <v>0.66</v>
      </c>
      <c r="AJ58" s="546">
        <v>0.75</v>
      </c>
      <c r="AK58" s="115"/>
      <c r="AL58" s="115"/>
      <c r="AM58" s="115"/>
      <c r="AN58" s="115"/>
      <c r="AO58" s="115"/>
      <c r="AP58" s="115"/>
      <c r="AQ58" s="115"/>
    </row>
    <row r="59" spans="1:43" ht="13.6" x14ac:dyDescent="0.25">
      <c r="B59" s="362"/>
      <c r="C59" s="144"/>
      <c r="D59" s="138"/>
      <c r="E59" s="138"/>
      <c r="F59" s="325"/>
      <c r="G59" s="326"/>
      <c r="H59" s="326"/>
      <c r="I59" s="327"/>
      <c r="J59" s="327"/>
      <c r="K59" s="328"/>
      <c r="L59" s="270"/>
      <c r="M59" s="218"/>
      <c r="N59" s="216"/>
      <c r="O59" s="269"/>
      <c r="P59" s="241"/>
      <c r="Q59" s="288"/>
      <c r="R59" s="273"/>
      <c r="S59" s="289"/>
      <c r="U59" s="318"/>
      <c r="V59" s="161"/>
      <c r="W59" s="10"/>
      <c r="X59" s="10"/>
      <c r="Y59" s="10"/>
      <c r="Z59" s="10"/>
      <c r="AA59" s="10"/>
      <c r="AB59" s="319"/>
      <c r="AC59" s="120"/>
      <c r="AD59" s="115"/>
      <c r="AE59" s="115"/>
      <c r="AF59" s="546" t="s">
        <v>2574</v>
      </c>
      <c r="AG59" s="546">
        <v>0</v>
      </c>
      <c r="AH59" s="546">
        <v>0.65720000000000001</v>
      </c>
      <c r="AI59" s="546">
        <v>0.6996</v>
      </c>
      <c r="AJ59" s="546">
        <v>0.79500000000000004</v>
      </c>
      <c r="AK59" s="115"/>
      <c r="AL59" s="115"/>
      <c r="AM59" s="115"/>
      <c r="AN59" s="115"/>
      <c r="AO59" s="115"/>
      <c r="AP59" s="115"/>
      <c r="AQ59" s="115"/>
    </row>
    <row r="60" spans="1:43" ht="12.75" customHeight="1" x14ac:dyDescent="0.25">
      <c r="B60" s="362"/>
      <c r="C60" s="149"/>
      <c r="D60" s="138" t="s">
        <v>2890</v>
      </c>
      <c r="E60" s="138"/>
      <c r="F60" s="325"/>
      <c r="G60" s="326"/>
      <c r="H60" s="326"/>
      <c r="I60" s="327"/>
      <c r="J60" s="327"/>
      <c r="K60" s="328"/>
      <c r="L60" s="270"/>
      <c r="M60" s="454">
        <v>1.1000000000000001</v>
      </c>
      <c r="N60" s="216" t="s">
        <v>2803</v>
      </c>
      <c r="O60" s="269"/>
      <c r="P60" s="241"/>
      <c r="Q60" s="288"/>
      <c r="R60" s="273"/>
      <c r="S60" s="289"/>
      <c r="U60" s="318"/>
      <c r="V60" s="161"/>
      <c r="W60" s="10"/>
      <c r="X60" s="10"/>
      <c r="Y60" s="10"/>
      <c r="Z60" s="10"/>
      <c r="AA60" s="10"/>
      <c r="AB60" s="319"/>
      <c r="AC60" s="120"/>
      <c r="AD60" s="115"/>
      <c r="AE60" s="115"/>
      <c r="AF60" s="546" t="s">
        <v>2575</v>
      </c>
      <c r="AG60" s="546">
        <v>0</v>
      </c>
      <c r="AH60" s="546">
        <v>0.66959999999999997</v>
      </c>
      <c r="AI60" s="546">
        <v>0.71279999999999999</v>
      </c>
      <c r="AJ60" s="546">
        <v>0.81</v>
      </c>
      <c r="AK60" s="115"/>
      <c r="AL60" s="115"/>
      <c r="AM60" s="115"/>
      <c r="AN60" s="115"/>
      <c r="AO60" s="115"/>
      <c r="AP60" s="115"/>
      <c r="AQ60" s="115"/>
    </row>
    <row r="61" spans="1:43" ht="12.25" customHeight="1" x14ac:dyDescent="0.25">
      <c r="B61" s="362"/>
      <c r="C61" s="149"/>
      <c r="D61" s="138" t="s">
        <v>2514</v>
      </c>
      <c r="E61" s="138"/>
      <c r="F61" s="325"/>
      <c r="G61" s="326">
        <f>$G$21*G58/100</f>
        <v>476.61894736842106</v>
      </c>
      <c r="H61" s="327" t="s">
        <v>2552</v>
      </c>
      <c r="I61" s="326">
        <f>$G$21*I58/100</f>
        <v>397.18245614035084</v>
      </c>
      <c r="J61" s="327" t="s">
        <v>2552</v>
      </c>
      <c r="K61" s="328"/>
      <c r="L61" s="270"/>
      <c r="M61" s="218">
        <f>M20*M60</f>
        <v>831.60000000000014</v>
      </c>
      <c r="N61" s="216" t="s">
        <v>2552</v>
      </c>
      <c r="O61" s="269"/>
      <c r="P61" s="241"/>
      <c r="Q61" s="458">
        <f>IF($G$8&lt;&gt;C117,M61-I61,M61-G61)</f>
        <v>354.98105263157908</v>
      </c>
      <c r="R61" s="426" t="s">
        <v>1573</v>
      </c>
      <c r="S61" s="289"/>
      <c r="U61" s="318"/>
      <c r="V61" s="161"/>
      <c r="W61" s="10"/>
      <c r="X61" s="10"/>
      <c r="Y61" s="10"/>
      <c r="Z61" s="10"/>
      <c r="AA61" s="10"/>
      <c r="AB61" s="319"/>
      <c r="AC61" s="120"/>
      <c r="AD61" s="115"/>
      <c r="AE61" s="115"/>
      <c r="AF61" s="546" t="s">
        <v>2573</v>
      </c>
      <c r="AG61" s="546">
        <v>0</v>
      </c>
      <c r="AH61" s="546">
        <v>0.68200000000000005</v>
      </c>
      <c r="AI61" s="546">
        <v>0.72599999999999998</v>
      </c>
      <c r="AJ61" s="546">
        <v>0.82499999999999996</v>
      </c>
      <c r="AK61" s="115"/>
      <c r="AL61" s="115"/>
      <c r="AM61" s="115"/>
      <c r="AN61" s="115"/>
      <c r="AO61" s="115"/>
      <c r="AP61" s="115"/>
      <c r="AQ61" s="115"/>
    </row>
    <row r="62" spans="1:43" ht="12.75" customHeight="1" x14ac:dyDescent="0.25">
      <c r="B62" s="362"/>
      <c r="C62" s="144" t="s">
        <v>2959</v>
      </c>
      <c r="D62" s="138"/>
      <c r="E62" s="138"/>
      <c r="F62" s="325"/>
      <c r="G62" s="326"/>
      <c r="H62" s="327"/>
      <c r="I62" s="327"/>
      <c r="J62" s="327"/>
      <c r="K62" s="328"/>
      <c r="L62" s="270"/>
      <c r="M62" s="218"/>
      <c r="N62" s="216"/>
      <c r="O62" s="269"/>
      <c r="P62" s="241"/>
      <c r="Q62" s="429"/>
      <c r="R62" s="428"/>
      <c r="S62" s="289"/>
      <c r="U62" s="318"/>
      <c r="V62" s="161"/>
      <c r="W62" s="10"/>
      <c r="X62" s="10"/>
      <c r="Y62" s="10"/>
      <c r="Z62" s="10"/>
      <c r="AA62" s="10"/>
      <c r="AB62" s="319"/>
      <c r="AC62" s="120"/>
      <c r="AD62" s="115"/>
      <c r="AE62" s="115"/>
      <c r="AF62" s="115"/>
      <c r="AG62" s="115"/>
      <c r="AH62" s="115"/>
      <c r="AI62" s="115"/>
      <c r="AJ62" s="115"/>
      <c r="AK62" s="115"/>
      <c r="AL62" s="115"/>
      <c r="AM62" s="115"/>
      <c r="AN62" s="115"/>
      <c r="AO62" s="115"/>
      <c r="AP62" s="115"/>
      <c r="AQ62" s="115"/>
    </row>
    <row r="63" spans="1:43" ht="13.6" x14ac:dyDescent="0.25">
      <c r="B63" s="241"/>
      <c r="C63" s="138"/>
      <c r="D63" s="138" t="s">
        <v>2975</v>
      </c>
      <c r="E63" s="138"/>
      <c r="F63" s="325"/>
      <c r="G63" s="334">
        <f>G64/12</f>
        <v>0</v>
      </c>
      <c r="H63" s="329" t="s">
        <v>2886</v>
      </c>
      <c r="I63" s="506">
        <f>G63*$C$125</f>
        <v>0</v>
      </c>
      <c r="J63" s="329" t="s">
        <v>2886</v>
      </c>
      <c r="K63" s="330"/>
      <c r="L63" s="241"/>
      <c r="M63" s="214"/>
      <c r="N63" s="142"/>
      <c r="O63" s="239"/>
      <c r="P63" s="142"/>
      <c r="Q63" s="430"/>
      <c r="R63" s="431"/>
      <c r="S63" s="289"/>
      <c r="U63" s="318"/>
      <c r="V63" s="161"/>
      <c r="W63" s="10"/>
      <c r="X63" s="10"/>
      <c r="Y63" s="10"/>
      <c r="Z63" s="10"/>
      <c r="AA63" s="10"/>
      <c r="AB63" s="319"/>
      <c r="AC63" s="120"/>
      <c r="AD63" s="115"/>
      <c r="AE63" s="115"/>
      <c r="AF63" s="115"/>
      <c r="AG63" s="115"/>
      <c r="AH63" s="115"/>
      <c r="AI63" s="115"/>
      <c r="AJ63" s="115"/>
      <c r="AK63" s="115"/>
      <c r="AL63" s="115"/>
      <c r="AM63" s="115"/>
      <c r="AN63" s="115"/>
      <c r="AO63" s="115"/>
      <c r="AP63" s="115"/>
      <c r="AQ63" s="115"/>
    </row>
    <row r="64" spans="1:43" ht="13.6" x14ac:dyDescent="0.25">
      <c r="B64" s="262"/>
      <c r="C64" s="138"/>
      <c r="D64" s="138"/>
      <c r="E64" s="138"/>
      <c r="F64" s="325"/>
      <c r="G64" s="334">
        <f>IF(G8="betrieblich",((VLOOKUP($G$12,'Daten-Elektrofahrzeug'!C6:M269,IF(OR(G13=H136,H137=""),'Daten-Elektrofahrzeug'!M5,'Daten-Elektrofahrzeug'!K5),FALSE))*12),((VLOOKUP($G$12,'Daten-Elektrofahrzeug'!C6:M269,IF(OR(G13=H136,H137=""),'Daten-Elektrofahrzeug'!M5,'Daten-Elektrofahrzeug'!K5),FALSE))*12))</f>
        <v>0</v>
      </c>
      <c r="H64" s="329" t="s">
        <v>2552</v>
      </c>
      <c r="I64" s="506">
        <f>G64*$C$125</f>
        <v>0</v>
      </c>
      <c r="J64" s="329" t="s">
        <v>2552</v>
      </c>
      <c r="K64" s="330"/>
      <c r="L64" s="241"/>
      <c r="M64" s="142"/>
      <c r="N64" s="142"/>
      <c r="O64" s="239"/>
      <c r="P64" s="142"/>
      <c r="Q64" s="421">
        <f>IF(G8=C118,I64*-1,G64*-1)</f>
        <v>0</v>
      </c>
      <c r="R64" s="427" t="s">
        <v>1573</v>
      </c>
      <c r="S64" s="289"/>
      <c r="U64" s="318"/>
      <c r="V64" s="161"/>
      <c r="W64" s="10"/>
      <c r="X64" s="10"/>
      <c r="Y64" s="10"/>
      <c r="Z64" s="10"/>
      <c r="AA64" s="10"/>
      <c r="AB64" s="319"/>
      <c r="AC64" s="120"/>
      <c r="AD64" s="115"/>
      <c r="AE64" s="115"/>
      <c r="AF64" s="115"/>
      <c r="AG64" s="115"/>
      <c r="AH64" s="115"/>
      <c r="AI64" s="115"/>
      <c r="AJ64" s="115"/>
      <c r="AK64" s="115"/>
      <c r="AL64" s="115"/>
      <c r="AM64" s="115"/>
      <c r="AN64" s="115"/>
      <c r="AO64" s="115"/>
      <c r="AP64" s="115"/>
      <c r="AQ64" s="115"/>
    </row>
    <row r="65" spans="2:43" ht="13.6" x14ac:dyDescent="0.25">
      <c r="B65" s="262"/>
      <c r="C65" s="138"/>
      <c r="D65" s="138"/>
      <c r="E65" s="138"/>
      <c r="F65" s="325"/>
      <c r="G65" s="334"/>
      <c r="H65" s="334"/>
      <c r="I65" s="329"/>
      <c r="J65" s="329"/>
      <c r="K65" s="330"/>
      <c r="L65" s="241"/>
      <c r="M65" s="142"/>
      <c r="N65" s="142"/>
      <c r="O65" s="239"/>
      <c r="P65" s="142"/>
      <c r="Q65" s="423">
        <f>Q61+Q64</f>
        <v>354.98105263157908</v>
      </c>
      <c r="R65" s="428" t="s">
        <v>1573</v>
      </c>
      <c r="S65" s="289"/>
      <c r="U65" s="318"/>
      <c r="V65" s="161"/>
      <c r="W65" s="10"/>
      <c r="X65" s="10"/>
      <c r="Y65" s="10"/>
      <c r="Z65" s="10"/>
      <c r="AA65" s="10"/>
      <c r="AB65" s="319"/>
      <c r="AC65" s="120"/>
      <c r="AD65" s="115"/>
      <c r="AE65" s="115"/>
      <c r="AF65" s="115"/>
      <c r="AG65" s="115"/>
      <c r="AH65" s="115"/>
      <c r="AI65" s="115"/>
      <c r="AJ65" s="115"/>
      <c r="AK65" s="115"/>
      <c r="AL65" s="115"/>
      <c r="AM65" s="115"/>
      <c r="AN65" s="115"/>
      <c r="AO65" s="115"/>
      <c r="AP65" s="115"/>
      <c r="AQ65" s="115"/>
    </row>
    <row r="66" spans="2:43" ht="7.5" customHeight="1" x14ac:dyDescent="0.25">
      <c r="B66" s="290"/>
      <c r="C66" s="291"/>
      <c r="D66" s="291"/>
      <c r="E66" s="291"/>
      <c r="F66" s="335"/>
      <c r="G66" s="331"/>
      <c r="H66" s="331"/>
      <c r="I66" s="331"/>
      <c r="J66" s="331"/>
      <c r="K66" s="332"/>
      <c r="L66" s="258"/>
      <c r="M66" s="259"/>
      <c r="N66" s="259"/>
      <c r="O66" s="260"/>
      <c r="P66" s="259"/>
      <c r="Q66" s="259"/>
      <c r="R66" s="292"/>
      <c r="S66" s="293"/>
      <c r="U66" s="318"/>
      <c r="V66" s="161"/>
      <c r="W66" s="10"/>
      <c r="X66" s="10"/>
      <c r="Y66" s="10"/>
      <c r="Z66" s="10"/>
      <c r="AA66" s="10"/>
      <c r="AB66" s="319"/>
      <c r="AC66" s="120"/>
      <c r="AD66" s="115"/>
      <c r="AE66" s="115"/>
      <c r="AF66" s="115"/>
      <c r="AG66" s="115"/>
      <c r="AH66" s="115"/>
      <c r="AI66" s="115"/>
      <c r="AJ66" s="115"/>
      <c r="AK66" s="115"/>
      <c r="AL66" s="115"/>
      <c r="AM66" s="115"/>
      <c r="AN66" s="115"/>
      <c r="AO66" s="115"/>
      <c r="AP66" s="115"/>
      <c r="AQ66" s="115"/>
    </row>
    <row r="67" spans="2:43" ht="13.6" x14ac:dyDescent="0.25">
      <c r="B67" s="232"/>
      <c r="C67" s="232"/>
      <c r="D67" s="232"/>
      <c r="E67" s="232"/>
      <c r="F67" s="232"/>
      <c r="G67" s="233"/>
      <c r="H67" s="233"/>
      <c r="I67" s="233"/>
      <c r="J67" s="233"/>
      <c r="K67" s="233"/>
      <c r="L67" s="233"/>
      <c r="M67" s="234"/>
      <c r="N67" s="234"/>
      <c r="O67" s="234"/>
      <c r="P67" s="234"/>
      <c r="Q67" s="235"/>
      <c r="R67" s="235"/>
      <c r="S67" s="235"/>
      <c r="U67" s="7"/>
      <c r="AC67" s="120"/>
      <c r="AD67" s="115"/>
      <c r="AE67" s="115"/>
      <c r="AF67" s="115"/>
      <c r="AG67" s="115"/>
      <c r="AH67" s="115"/>
      <c r="AI67" s="115"/>
      <c r="AJ67" s="115"/>
      <c r="AK67" s="115"/>
      <c r="AL67" s="115"/>
      <c r="AM67" s="115"/>
      <c r="AN67" s="115"/>
      <c r="AO67" s="115"/>
      <c r="AP67" s="115"/>
      <c r="AQ67" s="115"/>
    </row>
    <row r="68" spans="2:43" ht="18" customHeight="1" x14ac:dyDescent="0.3">
      <c r="B68" s="243" t="s">
        <v>2560</v>
      </c>
      <c r="C68" s="244"/>
      <c r="D68" s="244"/>
      <c r="E68" s="244"/>
      <c r="F68" s="691"/>
      <c r="G68" s="691"/>
      <c r="H68" s="691"/>
      <c r="I68" s="691"/>
      <c r="J68" s="691"/>
      <c r="K68" s="691"/>
      <c r="L68" s="691"/>
      <c r="M68" s="691"/>
      <c r="N68" s="691"/>
      <c r="O68" s="691"/>
      <c r="P68" s="246"/>
      <c r="Q68" s="246"/>
      <c r="R68" s="246"/>
      <c r="S68" s="247"/>
      <c r="U68" s="243"/>
      <c r="V68" s="244" t="s">
        <v>2971</v>
      </c>
      <c r="W68" s="391"/>
      <c r="X68" s="245"/>
      <c r="Y68" s="245"/>
      <c r="Z68" s="245"/>
      <c r="AA68" s="246"/>
      <c r="AB68" s="247"/>
      <c r="AC68" s="120"/>
      <c r="AD68" s="115"/>
      <c r="AE68" s="115"/>
      <c r="AF68" s="115"/>
      <c r="AG68" s="115"/>
      <c r="AH68" s="115"/>
      <c r="AI68" s="115"/>
      <c r="AJ68" s="115"/>
      <c r="AK68" s="115"/>
      <c r="AL68" s="115"/>
      <c r="AM68" s="115"/>
      <c r="AN68" s="115"/>
      <c r="AO68" s="115"/>
      <c r="AP68" s="115"/>
      <c r="AQ68" s="115"/>
    </row>
    <row r="69" spans="2:43" ht="7.5" customHeight="1" x14ac:dyDescent="0.25">
      <c r="B69" s="367"/>
      <c r="C69" s="368"/>
      <c r="D69" s="368"/>
      <c r="E69" s="368"/>
      <c r="F69" s="368"/>
      <c r="G69" s="369"/>
      <c r="H69" s="369"/>
      <c r="I69" s="369"/>
      <c r="J69" s="369"/>
      <c r="K69" s="369"/>
      <c r="L69" s="370"/>
      <c r="M69" s="249"/>
      <c r="N69" s="249"/>
      <c r="O69" s="251"/>
      <c r="P69" s="371"/>
      <c r="Q69" s="371"/>
      <c r="R69" s="371"/>
      <c r="S69" s="372"/>
      <c r="U69" s="392"/>
      <c r="V69" s="393"/>
      <c r="W69" s="394"/>
      <c r="X69" s="394"/>
      <c r="Y69" s="394"/>
      <c r="Z69" s="394"/>
      <c r="AA69" s="394"/>
      <c r="AB69" s="395"/>
      <c r="AC69" s="120"/>
      <c r="AD69" s="115"/>
      <c r="AE69" s="115"/>
      <c r="AF69" s="115"/>
      <c r="AG69" s="115"/>
      <c r="AH69" s="115"/>
      <c r="AI69" s="115"/>
      <c r="AJ69" s="115"/>
      <c r="AK69" s="115"/>
      <c r="AL69" s="115"/>
      <c r="AM69" s="115"/>
      <c r="AN69" s="115"/>
      <c r="AO69" s="115"/>
      <c r="AP69" s="115"/>
      <c r="AQ69" s="115"/>
    </row>
    <row r="70" spans="2:43" ht="13.6" x14ac:dyDescent="0.25">
      <c r="B70" s="255"/>
      <c r="C70" s="137"/>
      <c r="D70" s="137" t="s">
        <v>762</v>
      </c>
      <c r="E70" s="137"/>
      <c r="F70" s="142"/>
      <c r="G70" s="156">
        <v>1.5</v>
      </c>
      <c r="H70" s="140" t="s">
        <v>84</v>
      </c>
      <c r="I70" s="140"/>
      <c r="J70" s="140"/>
      <c r="K70" s="142"/>
      <c r="L70" s="142"/>
      <c r="M70" s="142"/>
      <c r="N70" s="142"/>
      <c r="O70" s="142"/>
      <c r="P70" s="142"/>
      <c r="Q70" s="142"/>
      <c r="R70" s="142"/>
      <c r="S70" s="239"/>
      <c r="U70" s="396"/>
      <c r="V70" s="112"/>
      <c r="W70" s="111"/>
      <c r="X70" s="111"/>
      <c r="Y70" s="111"/>
      <c r="Z70" s="111"/>
      <c r="AA70" s="111"/>
      <c r="AB70" s="397"/>
      <c r="AC70" s="120"/>
      <c r="AD70" s="115"/>
      <c r="AE70" s="115"/>
      <c r="AF70" s="115"/>
      <c r="AG70" s="115"/>
      <c r="AH70" s="115"/>
      <c r="AI70" s="115"/>
      <c r="AJ70" s="115"/>
      <c r="AK70" s="115"/>
      <c r="AL70" s="115"/>
      <c r="AM70" s="115"/>
      <c r="AN70" s="115"/>
      <c r="AO70" s="115"/>
      <c r="AP70" s="115"/>
      <c r="AQ70" s="115"/>
    </row>
    <row r="71" spans="2:43" ht="13.6" x14ac:dyDescent="0.25">
      <c r="B71" s="255"/>
      <c r="C71" s="137"/>
      <c r="D71" s="137" t="s">
        <v>763</v>
      </c>
      <c r="E71" s="137"/>
      <c r="F71" s="142"/>
      <c r="G71" s="156">
        <v>1.5</v>
      </c>
      <c r="H71" s="140" t="s">
        <v>84</v>
      </c>
      <c r="I71" s="140"/>
      <c r="J71" s="140"/>
      <c r="K71" s="142"/>
      <c r="L71" s="142"/>
      <c r="M71" s="142"/>
      <c r="N71" s="142"/>
      <c r="O71" s="142"/>
      <c r="P71" s="142"/>
      <c r="Q71" s="142"/>
      <c r="R71" s="142"/>
      <c r="S71" s="239"/>
      <c r="U71" s="398"/>
      <c r="V71" s="112"/>
      <c r="W71" s="111"/>
      <c r="X71" s="111"/>
      <c r="Y71" s="111"/>
      <c r="Z71" s="111"/>
      <c r="AA71" s="111"/>
      <c r="AB71" s="397"/>
      <c r="AC71" s="120"/>
      <c r="AD71" s="115"/>
      <c r="AE71" s="115"/>
      <c r="AF71" s="115"/>
      <c r="AG71" s="115"/>
      <c r="AH71" s="115"/>
      <c r="AI71" s="115"/>
      <c r="AJ71" s="115"/>
      <c r="AK71" s="115"/>
      <c r="AL71" s="115"/>
      <c r="AM71" s="115"/>
      <c r="AN71" s="115"/>
      <c r="AO71" s="115"/>
      <c r="AP71" s="115"/>
      <c r="AQ71" s="115"/>
    </row>
    <row r="72" spans="2:43" ht="13.6" x14ac:dyDescent="0.25">
      <c r="B72" s="255"/>
      <c r="C72" s="137"/>
      <c r="D72" s="137" t="s">
        <v>2802</v>
      </c>
      <c r="E72" s="137"/>
      <c r="F72" s="142"/>
      <c r="G72" s="156">
        <v>2</v>
      </c>
      <c r="H72" s="140" t="s">
        <v>84</v>
      </c>
      <c r="I72" s="140"/>
      <c r="J72" s="140"/>
      <c r="K72" s="142"/>
      <c r="L72" s="142"/>
      <c r="M72" s="142"/>
      <c r="N72" s="142"/>
      <c r="O72" s="142"/>
      <c r="P72" s="142"/>
      <c r="Q72" s="142"/>
      <c r="R72" s="142"/>
      <c r="S72" s="239"/>
      <c r="U72" s="398"/>
      <c r="V72" s="112"/>
      <c r="W72" s="111"/>
      <c r="X72" s="111"/>
      <c r="Y72" s="111"/>
      <c r="Z72" s="111"/>
      <c r="AA72" s="111"/>
      <c r="AB72" s="397"/>
      <c r="AC72" s="120"/>
      <c r="AD72" s="115"/>
      <c r="AE72" s="115"/>
      <c r="AF72" s="115"/>
      <c r="AG72" s="115"/>
      <c r="AH72" s="115"/>
      <c r="AI72" s="115"/>
      <c r="AJ72" s="115"/>
      <c r="AK72" s="115"/>
      <c r="AL72" s="115"/>
      <c r="AM72" s="115"/>
      <c r="AN72" s="115"/>
      <c r="AO72" s="115"/>
      <c r="AP72" s="115"/>
      <c r="AQ72" s="115"/>
    </row>
    <row r="73" spans="2:43" ht="13.6" x14ac:dyDescent="0.25">
      <c r="B73" s="255"/>
      <c r="C73" s="137"/>
      <c r="D73" s="137" t="s">
        <v>148</v>
      </c>
      <c r="E73" s="137"/>
      <c r="F73" s="142"/>
      <c r="G73" s="156">
        <v>1.5</v>
      </c>
      <c r="H73" s="140" t="s">
        <v>84</v>
      </c>
      <c r="I73" s="140"/>
      <c r="J73" s="140"/>
      <c r="K73" s="142"/>
      <c r="L73" s="142"/>
      <c r="M73" s="142"/>
      <c r="N73" s="142"/>
      <c r="O73" s="142"/>
      <c r="P73" s="142"/>
      <c r="Q73" s="142"/>
      <c r="R73" s="142"/>
      <c r="S73" s="239"/>
      <c r="U73" s="398"/>
      <c r="V73" s="112"/>
      <c r="W73" s="111"/>
      <c r="X73" s="111"/>
      <c r="Y73" s="111"/>
      <c r="Z73" s="111"/>
      <c r="AA73" s="111"/>
      <c r="AB73" s="397"/>
      <c r="AC73" s="120"/>
      <c r="AD73" s="115"/>
      <c r="AE73" s="115"/>
      <c r="AF73" s="115"/>
      <c r="AG73" s="115"/>
      <c r="AH73" s="115"/>
      <c r="AI73" s="115"/>
      <c r="AJ73" s="115"/>
      <c r="AK73" s="115"/>
      <c r="AL73" s="115"/>
      <c r="AM73" s="115"/>
      <c r="AN73" s="115"/>
      <c r="AO73" s="115"/>
      <c r="AP73" s="115"/>
      <c r="AQ73" s="115"/>
    </row>
    <row r="74" spans="2:43" ht="7.5" customHeight="1" x14ac:dyDescent="0.25">
      <c r="B74" s="373"/>
      <c r="C74" s="374"/>
      <c r="D74" s="374"/>
      <c r="E74" s="374"/>
      <c r="F74" s="374"/>
      <c r="G74" s="374"/>
      <c r="H74" s="374"/>
      <c r="I74" s="374"/>
      <c r="J74" s="374"/>
      <c r="K74" s="374"/>
      <c r="L74" s="374"/>
      <c r="M74" s="375"/>
      <c r="N74" s="375"/>
      <c r="O74" s="375"/>
      <c r="P74" s="376"/>
      <c r="Q74" s="376"/>
      <c r="R74" s="376"/>
      <c r="S74" s="377"/>
      <c r="T74" s="7"/>
      <c r="U74" s="398"/>
      <c r="V74" s="112"/>
      <c r="W74" s="111"/>
      <c r="X74" s="111"/>
      <c r="Y74" s="111"/>
      <c r="Z74" s="111"/>
      <c r="AA74" s="111"/>
      <c r="AB74" s="397"/>
      <c r="AC74" s="120"/>
      <c r="AD74" s="115"/>
      <c r="AE74" s="115"/>
      <c r="AF74" s="115"/>
      <c r="AG74" s="115"/>
      <c r="AH74" s="115"/>
      <c r="AI74" s="115"/>
      <c r="AJ74" s="115"/>
      <c r="AK74" s="115"/>
      <c r="AL74" s="115"/>
      <c r="AM74" s="115"/>
      <c r="AN74" s="115"/>
      <c r="AO74" s="115"/>
      <c r="AP74" s="115"/>
      <c r="AQ74" s="115"/>
    </row>
    <row r="75" spans="2:43" ht="12.25" customHeight="1" x14ac:dyDescent="0.25">
      <c r="B75" s="232"/>
      <c r="C75" s="232"/>
      <c r="D75" s="232"/>
      <c r="E75" s="232"/>
      <c r="F75" s="232"/>
      <c r="G75" s="233"/>
      <c r="H75" s="233"/>
      <c r="I75" s="233"/>
      <c r="J75" s="233"/>
      <c r="K75" s="233"/>
      <c r="L75" s="233"/>
      <c r="M75" s="234"/>
      <c r="N75" s="234"/>
      <c r="O75" s="234"/>
      <c r="P75" s="234"/>
      <c r="Q75" s="235"/>
      <c r="R75" s="235"/>
      <c r="S75" s="235"/>
      <c r="T75" s="7"/>
      <c r="U75" s="398"/>
      <c r="AC75" s="120"/>
      <c r="AD75" s="115"/>
      <c r="AE75" s="115"/>
      <c r="AF75" s="115"/>
      <c r="AG75" s="115"/>
      <c r="AH75" s="115"/>
      <c r="AI75" s="115"/>
      <c r="AJ75" s="115"/>
      <c r="AK75" s="115"/>
      <c r="AL75" s="115"/>
      <c r="AM75" s="115"/>
      <c r="AN75" s="115"/>
      <c r="AO75" s="115"/>
      <c r="AP75" s="115"/>
      <c r="AQ75" s="115"/>
    </row>
    <row r="76" spans="2:43" ht="18" customHeight="1" x14ac:dyDescent="0.3">
      <c r="B76" s="399"/>
      <c r="C76" s="400" t="s">
        <v>2562</v>
      </c>
      <c r="D76" s="400"/>
      <c r="E76" s="400"/>
      <c r="F76" s="688"/>
      <c r="G76" s="688"/>
      <c r="H76" s="688"/>
      <c r="I76" s="688"/>
      <c r="J76" s="688"/>
      <c r="K76" s="688"/>
      <c r="L76" s="688"/>
      <c r="M76" s="688"/>
      <c r="N76" s="688"/>
      <c r="O76" s="688"/>
      <c r="P76" s="401"/>
      <c r="Q76" s="401"/>
      <c r="R76" s="401"/>
      <c r="S76" s="402"/>
      <c r="U76" s="398"/>
      <c r="V76" s="112"/>
      <c r="W76" s="111"/>
      <c r="X76" s="111"/>
      <c r="Y76" s="111"/>
      <c r="Z76" s="111"/>
      <c r="AA76" s="111"/>
      <c r="AB76" s="397"/>
      <c r="AC76" s="120"/>
      <c r="AD76" s="115"/>
      <c r="AE76" s="115"/>
      <c r="AF76" s="115"/>
      <c r="AG76" s="115"/>
      <c r="AH76" s="115"/>
      <c r="AI76" s="115"/>
      <c r="AJ76" s="115"/>
      <c r="AK76" s="115"/>
      <c r="AL76" s="115"/>
      <c r="AM76" s="115"/>
      <c r="AN76" s="115"/>
      <c r="AO76" s="115"/>
      <c r="AP76" s="115"/>
      <c r="AQ76" s="115"/>
    </row>
    <row r="77" spans="2:43" ht="7.5" customHeight="1" x14ac:dyDescent="0.3">
      <c r="B77" s="378"/>
      <c r="C77" s="459"/>
      <c r="D77" s="379"/>
      <c r="E77" s="379"/>
      <c r="F77" s="379"/>
      <c r="G77" s="380"/>
      <c r="H77" s="380"/>
      <c r="I77" s="380"/>
      <c r="J77" s="380"/>
      <c r="K77" s="381"/>
      <c r="L77" s="380"/>
      <c r="M77" s="380"/>
      <c r="N77" s="380"/>
      <c r="O77" s="380"/>
      <c r="P77" s="380"/>
      <c r="Q77" s="380"/>
      <c r="R77" s="380"/>
      <c r="S77" s="382"/>
      <c r="U77" s="398"/>
      <c r="V77" s="112"/>
      <c r="W77" s="111"/>
      <c r="X77" s="111"/>
      <c r="Y77" s="111"/>
      <c r="Z77" s="111"/>
      <c r="AA77" s="111"/>
      <c r="AB77" s="397"/>
      <c r="AC77" s="120"/>
      <c r="AD77" s="115"/>
      <c r="AE77" s="115"/>
      <c r="AF77" s="115"/>
      <c r="AG77" s="115"/>
      <c r="AH77" s="411"/>
      <c r="AI77" s="115"/>
      <c r="AJ77" s="115"/>
      <c r="AK77" s="115"/>
      <c r="AL77" s="115"/>
      <c r="AM77" s="115"/>
      <c r="AN77" s="115"/>
      <c r="AO77" s="115"/>
      <c r="AP77" s="115"/>
      <c r="AQ77" s="115"/>
    </row>
    <row r="78" spans="2:43" ht="12.75" customHeight="1" x14ac:dyDescent="0.3">
      <c r="B78" s="460"/>
      <c r="C78" s="144" t="s">
        <v>2857</v>
      </c>
      <c r="D78" s="461"/>
      <c r="E78" s="461"/>
      <c r="F78" s="461"/>
      <c r="G78" s="162"/>
      <c r="H78" s="162"/>
      <c r="I78" s="162"/>
      <c r="J78" s="162"/>
      <c r="K78" s="462"/>
      <c r="L78" s="162"/>
      <c r="M78" s="715"/>
      <c r="N78" s="715"/>
      <c r="O78" s="715"/>
      <c r="P78" s="715"/>
      <c r="Q78" s="715"/>
      <c r="R78" s="715"/>
      <c r="S78" s="384"/>
      <c r="U78" s="398"/>
      <c r="V78" s="112"/>
      <c r="W78" s="111"/>
      <c r="X78" s="111"/>
      <c r="Y78" s="111"/>
      <c r="Z78" s="111"/>
      <c r="AA78" s="111"/>
      <c r="AB78" s="397"/>
      <c r="AC78" s="120"/>
      <c r="AD78" s="115"/>
      <c r="AE78" s="115"/>
      <c r="AF78" s="115"/>
      <c r="AG78" s="115"/>
      <c r="AH78" s="115"/>
      <c r="AI78" s="115"/>
      <c r="AJ78" s="115"/>
      <c r="AK78" s="115"/>
      <c r="AL78" s="115"/>
      <c r="AM78" s="115"/>
      <c r="AN78" s="115"/>
      <c r="AO78" s="115"/>
      <c r="AP78" s="115"/>
      <c r="AQ78" s="115"/>
    </row>
    <row r="79" spans="2:43" ht="12.75" customHeight="1" x14ac:dyDescent="0.3">
      <c r="B79" s="383"/>
      <c r="C79" s="144"/>
      <c r="D79" s="138" t="s">
        <v>2843</v>
      </c>
      <c r="E79" s="8"/>
      <c r="F79" s="137"/>
      <c r="G79" s="139">
        <f>Q21</f>
        <v>4142.5557894736849</v>
      </c>
      <c r="H79" s="142" t="s">
        <v>1915</v>
      </c>
      <c r="I79" s="142"/>
      <c r="J79" s="142"/>
      <c r="K79" s="10"/>
      <c r="L79" s="162"/>
      <c r="M79" s="551"/>
      <c r="N79" s="162"/>
      <c r="O79" s="162"/>
      <c r="P79" s="162"/>
      <c r="Q79" s="162"/>
      <c r="R79" s="162"/>
      <c r="S79" s="384"/>
      <c r="U79" s="398"/>
      <c r="V79" s="112"/>
      <c r="W79" s="111"/>
      <c r="X79" s="111"/>
      <c r="Y79" s="111"/>
      <c r="Z79" s="111"/>
      <c r="AA79" s="111"/>
      <c r="AB79" s="397"/>
      <c r="AC79" s="120"/>
      <c r="AD79" s="115"/>
      <c r="AE79" s="115"/>
      <c r="AF79" s="115"/>
      <c r="AG79" s="115"/>
      <c r="AH79" s="115"/>
      <c r="AI79" s="115"/>
      <c r="AJ79" s="115"/>
      <c r="AK79" s="115"/>
      <c r="AL79" s="115"/>
      <c r="AM79" s="541"/>
      <c r="AN79" s="115"/>
      <c r="AO79" s="115"/>
      <c r="AP79" s="115"/>
      <c r="AQ79" s="115"/>
    </row>
    <row r="80" spans="2:43" ht="12.75" customHeight="1" x14ac:dyDescent="0.3">
      <c r="B80" s="280"/>
      <c r="C80" s="8"/>
      <c r="D80" s="138" t="s">
        <v>2818</v>
      </c>
      <c r="E80" s="8"/>
      <c r="F80" s="137"/>
      <c r="G80" s="139">
        <f>G79*$Q$7</f>
        <v>49710.669473684218</v>
      </c>
      <c r="H80" s="142" t="s">
        <v>2838</v>
      </c>
      <c r="I80" s="142"/>
      <c r="J80" s="142"/>
      <c r="K80" s="10"/>
      <c r="L80" s="162"/>
      <c r="M80" s="551"/>
      <c r="N80" s="162"/>
      <c r="O80" s="162"/>
      <c r="P80" s="162"/>
      <c r="Q80" s="162"/>
      <c r="R80" s="162"/>
      <c r="S80" s="384"/>
      <c r="U80" s="398"/>
      <c r="V80" s="112"/>
      <c r="W80" s="111"/>
      <c r="X80" s="111"/>
      <c r="Y80" s="111"/>
      <c r="Z80" s="111"/>
      <c r="AA80" s="111"/>
      <c r="AB80" s="397"/>
      <c r="AC80" s="120"/>
      <c r="AD80" s="115"/>
      <c r="AE80" s="115"/>
      <c r="AF80" s="115"/>
      <c r="AG80" s="115"/>
      <c r="AH80" s="115"/>
      <c r="AI80" s="115"/>
      <c r="AJ80" s="115"/>
      <c r="AK80" s="115"/>
      <c r="AL80" s="115"/>
      <c r="AM80" s="115"/>
      <c r="AN80" s="115"/>
      <c r="AO80" s="115"/>
      <c r="AP80" s="115"/>
      <c r="AQ80" s="115"/>
    </row>
    <row r="81" spans="2:43" ht="12.75" customHeight="1" x14ac:dyDescent="0.35">
      <c r="B81" s="280"/>
      <c r="C81" s="145" t="s">
        <v>2858</v>
      </c>
      <c r="D81" s="8"/>
      <c r="E81" s="8"/>
      <c r="F81" s="138"/>
      <c r="G81" s="141"/>
      <c r="H81" s="142"/>
      <c r="I81" s="142"/>
      <c r="J81" s="142"/>
      <c r="K81" s="10"/>
      <c r="L81" s="162"/>
      <c r="M81" s="715"/>
      <c r="N81" s="715"/>
      <c r="O81" s="715"/>
      <c r="P81" s="715"/>
      <c r="Q81" s="715"/>
      <c r="R81" s="715"/>
      <c r="S81" s="384"/>
      <c r="U81" s="398"/>
      <c r="V81" s="112"/>
      <c r="W81" s="111"/>
      <c r="X81" s="111"/>
      <c r="Y81" s="111"/>
      <c r="Z81" s="111"/>
      <c r="AA81" s="111"/>
      <c r="AB81" s="397"/>
      <c r="AC81" s="120"/>
      <c r="AD81" s="115"/>
      <c r="AE81" s="115"/>
      <c r="AF81" s="115"/>
      <c r="AG81" s="115"/>
      <c r="AH81" s="411"/>
      <c r="AI81" s="115"/>
      <c r="AJ81" s="115"/>
      <c r="AK81" s="115"/>
      <c r="AL81" s="115"/>
      <c r="AM81" s="115"/>
      <c r="AN81" s="115"/>
      <c r="AO81" s="115"/>
      <c r="AP81" s="115"/>
      <c r="AQ81" s="115"/>
    </row>
    <row r="82" spans="2:43" ht="12.75" customHeight="1" x14ac:dyDescent="0.35">
      <c r="B82" s="386"/>
      <c r="C82" s="145"/>
      <c r="D82" s="138" t="s">
        <v>2844</v>
      </c>
      <c r="E82" s="10"/>
      <c r="F82" s="138"/>
      <c r="G82" s="139">
        <f>M23</f>
        <v>1708</v>
      </c>
      <c r="H82" s="142" t="s">
        <v>2842</v>
      </c>
      <c r="I82" s="142"/>
      <c r="J82" s="142"/>
      <c r="K82" s="160"/>
      <c r="L82" s="162"/>
      <c r="M82" s="551"/>
      <c r="N82" s="162"/>
      <c r="O82" s="162"/>
      <c r="P82" s="162"/>
      <c r="Q82" s="162"/>
      <c r="R82" s="162"/>
      <c r="S82" s="384"/>
      <c r="U82" s="398"/>
      <c r="V82" s="112"/>
      <c r="W82" s="111"/>
      <c r="X82" s="111"/>
      <c r="Y82" s="111"/>
      <c r="Z82" s="111"/>
      <c r="AA82" s="111"/>
      <c r="AB82" s="397"/>
      <c r="AC82" s="120"/>
      <c r="AD82" s="115"/>
      <c r="AE82" s="115"/>
      <c r="AF82" s="115"/>
      <c r="AG82" s="115"/>
      <c r="AH82" s="411"/>
      <c r="AI82" s="115"/>
      <c r="AJ82" s="115"/>
      <c r="AK82" s="115"/>
      <c r="AL82" s="115"/>
      <c r="AM82" s="115"/>
      <c r="AN82" s="115"/>
      <c r="AO82" s="115"/>
      <c r="AP82" s="115"/>
      <c r="AQ82" s="115"/>
    </row>
    <row r="83" spans="2:43" ht="12.75" customHeight="1" x14ac:dyDescent="0.35">
      <c r="B83" s="280"/>
      <c r="C83" s="8"/>
      <c r="D83" s="138" t="s">
        <v>2811</v>
      </c>
      <c r="E83" s="10"/>
      <c r="F83" s="138"/>
      <c r="G83" s="139">
        <f>(M23*$Q$7)</f>
        <v>20496</v>
      </c>
      <c r="H83" s="142" t="s">
        <v>2484</v>
      </c>
      <c r="I83" s="142"/>
      <c r="J83" s="142"/>
      <c r="K83" s="10"/>
      <c r="L83" s="162"/>
      <c r="M83" s="551"/>
      <c r="N83" s="162"/>
      <c r="O83" s="162"/>
      <c r="P83" s="162"/>
      <c r="Q83" s="162"/>
      <c r="R83" s="162"/>
      <c r="S83" s="384"/>
      <c r="U83" s="398"/>
      <c r="V83" s="112"/>
      <c r="W83" s="111"/>
      <c r="X83" s="111"/>
      <c r="Y83" s="111"/>
      <c r="Z83" s="111"/>
      <c r="AA83" s="111"/>
      <c r="AB83" s="397"/>
      <c r="AC83" s="120"/>
      <c r="AD83" s="115"/>
      <c r="AE83" s="115"/>
      <c r="AF83" s="115"/>
      <c r="AG83" s="115"/>
      <c r="AH83" s="115"/>
      <c r="AI83" s="115"/>
      <c r="AJ83" s="115"/>
      <c r="AK83" s="115"/>
      <c r="AL83" s="115"/>
      <c r="AM83" s="115"/>
      <c r="AN83" s="115"/>
      <c r="AO83" s="115"/>
      <c r="AP83" s="115"/>
      <c r="AQ83" s="115"/>
    </row>
    <row r="84" spans="2:43" ht="12.75" customHeight="1" x14ac:dyDescent="0.3">
      <c r="B84" s="385"/>
      <c r="C84" s="145" t="s">
        <v>2962</v>
      </c>
      <c r="D84" s="10"/>
      <c r="E84" s="10"/>
      <c r="F84" s="138"/>
      <c r="G84" s="141"/>
      <c r="H84" s="142"/>
      <c r="I84" s="142"/>
      <c r="J84" s="142"/>
      <c r="K84" s="160"/>
      <c r="L84" s="162"/>
      <c r="M84" s="162"/>
      <c r="N84" s="162"/>
      <c r="O84" s="162"/>
      <c r="P84" s="162"/>
      <c r="Q84" s="162"/>
      <c r="R84" s="162"/>
      <c r="S84" s="384"/>
      <c r="U84" s="398"/>
      <c r="V84" s="112"/>
      <c r="W84" s="112"/>
      <c r="X84" s="112"/>
      <c r="Y84" s="112"/>
      <c r="Z84" s="112"/>
      <c r="AA84" s="111"/>
      <c r="AB84" s="397"/>
      <c r="AC84" s="120"/>
      <c r="AD84" s="115"/>
      <c r="AE84" s="115"/>
      <c r="AF84" s="115"/>
      <c r="AG84" s="115"/>
      <c r="AH84" s="115"/>
      <c r="AI84" s="115"/>
      <c r="AJ84" s="115"/>
      <c r="AK84" s="115"/>
      <c r="AL84" s="115"/>
      <c r="AM84" s="115"/>
      <c r="AN84" s="115"/>
      <c r="AO84" s="115"/>
      <c r="AP84" s="115"/>
      <c r="AQ84" s="115"/>
    </row>
    <row r="85" spans="2:43" ht="12.75" customHeight="1" x14ac:dyDescent="0.3">
      <c r="B85" s="320"/>
      <c r="C85" s="145"/>
      <c r="D85" s="138" t="s">
        <v>2813</v>
      </c>
      <c r="E85" s="10"/>
      <c r="F85" s="138"/>
      <c r="G85" s="141">
        <f>Berechnungen!$I$20</f>
        <v>4245.6341645734374</v>
      </c>
      <c r="H85" s="141" t="s">
        <v>1573</v>
      </c>
      <c r="I85" s="141"/>
      <c r="J85" s="141"/>
      <c r="K85" s="160"/>
      <c r="L85" s="162"/>
      <c r="M85" s="162"/>
      <c r="N85" s="162"/>
      <c r="O85" s="162"/>
      <c r="P85" s="162"/>
      <c r="Q85" s="162"/>
      <c r="R85" s="162"/>
      <c r="S85" s="384"/>
      <c r="U85" s="398"/>
      <c r="V85" s="112"/>
      <c r="W85" s="112"/>
      <c r="X85" s="112"/>
      <c r="Y85" s="112"/>
      <c r="Z85" s="112"/>
      <c r="AA85" s="111"/>
      <c r="AB85" s="397"/>
      <c r="AC85" s="120"/>
      <c r="AD85" s="115"/>
      <c r="AE85" s="115"/>
      <c r="AF85" s="115"/>
      <c r="AG85" s="115"/>
      <c r="AH85" s="115"/>
      <c r="AI85" s="115"/>
      <c r="AJ85" s="115"/>
      <c r="AK85" s="115"/>
      <c r="AL85" s="115"/>
      <c r="AM85" s="115"/>
      <c r="AN85" s="115"/>
      <c r="AO85" s="115"/>
      <c r="AP85" s="115"/>
      <c r="AQ85" s="115"/>
    </row>
    <row r="86" spans="2:43" ht="12.75" customHeight="1" x14ac:dyDescent="0.3">
      <c r="B86" s="386"/>
      <c r="C86" s="11"/>
      <c r="D86" s="138" t="s">
        <v>2265</v>
      </c>
      <c r="E86" s="11"/>
      <c r="F86" s="138"/>
      <c r="G86" s="143">
        <f>Berechnungen!H17</f>
        <v>5</v>
      </c>
      <c r="H86" s="141" t="s">
        <v>2266</v>
      </c>
      <c r="I86" s="141"/>
      <c r="J86" s="141"/>
      <c r="K86" s="160"/>
      <c r="L86" s="162"/>
      <c r="M86" s="162"/>
      <c r="N86" s="162"/>
      <c r="O86" s="162"/>
      <c r="P86" s="162"/>
      <c r="Q86" s="162"/>
      <c r="R86" s="162"/>
      <c r="S86" s="384"/>
      <c r="U86" s="398"/>
      <c r="V86" s="112"/>
      <c r="W86" s="111"/>
      <c r="X86" s="111"/>
      <c r="Y86" s="111"/>
      <c r="Z86" s="111"/>
      <c r="AA86" s="111"/>
      <c r="AB86" s="397"/>
      <c r="AC86" s="120"/>
      <c r="AD86" s="115"/>
      <c r="AE86" s="115"/>
      <c r="AF86" s="115"/>
      <c r="AG86" s="115"/>
      <c r="AH86" s="115"/>
      <c r="AI86" s="115"/>
      <c r="AJ86" s="115"/>
      <c r="AK86" s="115"/>
      <c r="AL86" s="115"/>
      <c r="AM86" s="115"/>
      <c r="AN86" s="115"/>
      <c r="AO86" s="115"/>
      <c r="AP86" s="115"/>
      <c r="AQ86" s="115"/>
    </row>
    <row r="87" spans="2:43" ht="7.5" customHeight="1" x14ac:dyDescent="0.3">
      <c r="B87" s="387"/>
      <c r="C87" s="403"/>
      <c r="D87" s="403"/>
      <c r="E87" s="403"/>
      <c r="F87" s="404"/>
      <c r="G87" s="405"/>
      <c r="H87" s="405"/>
      <c r="I87" s="405"/>
      <c r="J87" s="405"/>
      <c r="K87" s="388"/>
      <c r="L87" s="389"/>
      <c r="M87" s="389"/>
      <c r="N87" s="389"/>
      <c r="O87" s="389"/>
      <c r="P87" s="389"/>
      <c r="Q87" s="389"/>
      <c r="R87" s="389"/>
      <c r="S87" s="390"/>
      <c r="U87" s="398"/>
      <c r="V87" s="112"/>
      <c r="W87" s="111"/>
      <c r="X87" s="111"/>
      <c r="Y87" s="111"/>
      <c r="Z87" s="111"/>
      <c r="AA87" s="111"/>
      <c r="AB87" s="397"/>
      <c r="AC87" s="120"/>
      <c r="AD87" s="115"/>
      <c r="AE87" s="115"/>
      <c r="AF87" s="115"/>
      <c r="AG87" s="115"/>
      <c r="AH87" s="115"/>
      <c r="AI87" s="115"/>
      <c r="AJ87" s="115"/>
      <c r="AK87" s="115"/>
      <c r="AL87" s="115"/>
      <c r="AM87" s="115"/>
      <c r="AN87" s="115"/>
      <c r="AO87" s="115"/>
      <c r="AP87" s="115"/>
      <c r="AQ87" s="115"/>
    </row>
    <row r="88" spans="2:43" ht="12.75" customHeight="1" x14ac:dyDescent="0.2">
      <c r="B88" s="122"/>
      <c r="C88" s="122"/>
      <c r="D88" s="122"/>
      <c r="E88" s="122"/>
      <c r="F88" s="122"/>
      <c r="G88" s="122"/>
      <c r="H88" s="122"/>
      <c r="I88" s="122"/>
      <c r="J88" s="122"/>
      <c r="K88" s="122"/>
      <c r="L88" s="122"/>
      <c r="M88" s="122"/>
      <c r="N88" s="274"/>
      <c r="O88" s="274"/>
      <c r="P88" s="122"/>
      <c r="Q88" s="122"/>
      <c r="R88" s="122"/>
      <c r="S88" s="122"/>
      <c r="T88" s="122"/>
      <c r="U88" s="275"/>
      <c r="V88" s="275"/>
      <c r="W88" s="172"/>
      <c r="X88" s="172"/>
      <c r="Y88" s="172"/>
      <c r="Z88" s="172"/>
      <c r="AA88" s="172"/>
      <c r="AB88" s="172"/>
      <c r="AC88" s="120"/>
      <c r="AD88" s="115"/>
      <c r="AE88" s="115"/>
      <c r="AF88" s="532"/>
      <c r="AG88" s="532"/>
      <c r="AH88" s="541"/>
      <c r="AI88" s="115"/>
      <c r="AJ88" s="115"/>
      <c r="AK88" s="115"/>
      <c r="AL88" s="115"/>
      <c r="AM88" s="115"/>
      <c r="AN88" s="115"/>
      <c r="AO88" s="115"/>
      <c r="AP88" s="115"/>
      <c r="AQ88" s="115"/>
    </row>
    <row r="89" spans="2:43" ht="15.8" customHeight="1" x14ac:dyDescent="0.25">
      <c r="B89" s="120"/>
      <c r="C89" s="463" t="s">
        <v>2845</v>
      </c>
      <c r="D89" s="119"/>
      <c r="E89" s="119"/>
      <c r="F89" s="119"/>
      <c r="G89" s="119"/>
      <c r="H89" s="119"/>
      <c r="I89" s="119"/>
      <c r="J89" s="119"/>
      <c r="K89" s="119"/>
      <c r="L89" s="119"/>
      <c r="M89" s="119"/>
      <c r="N89" s="207"/>
      <c r="O89" s="207"/>
      <c r="P89" s="119"/>
      <c r="Q89" s="119"/>
      <c r="R89" s="119"/>
      <c r="S89" s="119"/>
      <c r="T89" s="122"/>
      <c r="U89" s="275"/>
      <c r="V89" s="275"/>
      <c r="W89" s="172"/>
      <c r="X89" s="172"/>
      <c r="Y89" s="172"/>
      <c r="Z89" s="172"/>
      <c r="AA89" s="172"/>
      <c r="AB89" s="172"/>
      <c r="AC89" s="120"/>
      <c r="AD89" s="115"/>
      <c r="AE89" s="115"/>
      <c r="AF89" s="115"/>
      <c r="AG89" s="115"/>
      <c r="AH89" s="115"/>
      <c r="AI89" s="115"/>
      <c r="AJ89" s="115"/>
      <c r="AK89" s="115"/>
      <c r="AL89" s="115"/>
      <c r="AM89" s="115"/>
      <c r="AN89" s="115"/>
      <c r="AO89" s="115"/>
      <c r="AP89" s="115"/>
      <c r="AQ89" s="115"/>
    </row>
    <row r="90" spans="2:43" ht="13.6" x14ac:dyDescent="0.2">
      <c r="B90" s="120"/>
      <c r="C90" s="119"/>
      <c r="D90" s="684" t="s">
        <v>2888</v>
      </c>
      <c r="E90" s="684"/>
      <c r="F90" s="684"/>
      <c r="G90" s="684"/>
      <c r="H90" s="684"/>
      <c r="I90" s="684"/>
      <c r="J90" s="684"/>
      <c r="K90" s="684"/>
      <c r="L90" s="684"/>
      <c r="M90" s="684"/>
      <c r="N90" s="684"/>
      <c r="O90" s="684"/>
      <c r="P90" s="684"/>
      <c r="Q90" s="684"/>
      <c r="R90" s="684"/>
      <c r="S90" s="684"/>
      <c r="T90" s="684"/>
      <c r="U90" s="684"/>
      <c r="V90" s="684"/>
      <c r="W90" s="684"/>
      <c r="X90" s="684"/>
      <c r="Y90" s="684"/>
      <c r="Z90" s="684"/>
      <c r="AA90" s="684"/>
      <c r="AB90" s="684"/>
      <c r="AC90" s="120"/>
      <c r="AD90" s="115"/>
      <c r="AE90" s="115"/>
      <c r="AF90" s="115"/>
      <c r="AG90" s="115"/>
      <c r="AH90" s="115"/>
      <c r="AI90" s="115"/>
      <c r="AJ90" s="115"/>
      <c r="AK90" s="115"/>
      <c r="AL90" s="115"/>
      <c r="AM90" s="115"/>
      <c r="AN90" s="115"/>
      <c r="AO90" s="115"/>
      <c r="AP90" s="115"/>
      <c r="AQ90" s="115"/>
    </row>
    <row r="91" spans="2:43" ht="12.75" customHeight="1" x14ac:dyDescent="0.2">
      <c r="B91" s="120"/>
      <c r="C91" s="119"/>
      <c r="D91" s="684" t="s">
        <v>2861</v>
      </c>
      <c r="E91" s="684"/>
      <c r="F91" s="684"/>
      <c r="G91" s="684" t="s">
        <v>2848</v>
      </c>
      <c r="H91" s="684"/>
      <c r="I91" s="684"/>
      <c r="J91" s="684"/>
      <c r="K91" s="684"/>
      <c r="L91" s="119"/>
      <c r="M91" s="119"/>
      <c r="N91" s="207"/>
      <c r="O91" s="207"/>
      <c r="P91" s="122"/>
      <c r="Q91" s="122"/>
      <c r="R91" s="122"/>
      <c r="S91" s="119"/>
      <c r="T91" s="122"/>
      <c r="U91" s="122"/>
      <c r="V91" s="274"/>
      <c r="W91" s="122"/>
      <c r="X91" s="122"/>
      <c r="Y91" s="122"/>
      <c r="Z91" s="122"/>
      <c r="AA91" s="122"/>
      <c r="AB91" s="122"/>
      <c r="AC91" s="120"/>
      <c r="AD91" s="115"/>
      <c r="AE91" s="115"/>
      <c r="AF91" s="115"/>
      <c r="AG91" s="115"/>
      <c r="AH91" s="115"/>
      <c r="AI91" s="115"/>
      <c r="AJ91" s="115"/>
      <c r="AK91" s="115"/>
      <c r="AL91" s="115"/>
      <c r="AM91" s="115"/>
      <c r="AN91" s="115"/>
      <c r="AO91" s="115"/>
      <c r="AP91" s="115"/>
      <c r="AQ91" s="115"/>
    </row>
    <row r="92" spans="2:43" ht="13.6" x14ac:dyDescent="0.2">
      <c r="B92" s="120"/>
      <c r="C92" s="119"/>
      <c r="D92" s="687"/>
      <c r="E92" s="684"/>
      <c r="F92" s="684"/>
      <c r="G92" s="685" t="s">
        <v>2849</v>
      </c>
      <c r="H92" s="685"/>
      <c r="I92" s="686"/>
      <c r="J92" s="686"/>
      <c r="K92" s="686"/>
      <c r="L92" s="122"/>
      <c r="M92" s="122"/>
      <c r="N92" s="274"/>
      <c r="O92" s="274"/>
      <c r="P92" s="122"/>
      <c r="Q92" s="122"/>
      <c r="R92" s="122"/>
      <c r="S92" s="122"/>
      <c r="T92" s="122"/>
      <c r="U92" s="122"/>
      <c r="V92" s="274"/>
      <c r="W92" s="122"/>
      <c r="X92" s="122"/>
      <c r="Y92" s="122"/>
      <c r="Z92" s="122"/>
      <c r="AA92" s="122"/>
      <c r="AB92" s="563"/>
      <c r="AC92" s="120"/>
      <c r="AD92" s="115"/>
      <c r="AE92" s="115"/>
      <c r="AF92" s="115"/>
      <c r="AG92" s="115"/>
      <c r="AH92" s="115"/>
      <c r="AI92" s="115"/>
      <c r="AJ92" s="115"/>
      <c r="AK92" s="115"/>
      <c r="AL92" s="115"/>
      <c r="AM92" s="115"/>
      <c r="AN92" s="115"/>
      <c r="AO92" s="115"/>
      <c r="AP92" s="115"/>
      <c r="AQ92" s="115"/>
    </row>
    <row r="93" spans="2:43" ht="43.5" customHeight="1" x14ac:dyDescent="0.2">
      <c r="B93" s="120"/>
      <c r="C93" s="119"/>
      <c r="D93" s="681" t="s">
        <v>2852</v>
      </c>
      <c r="E93" s="681"/>
      <c r="F93" s="681"/>
      <c r="G93" s="681"/>
      <c r="H93" s="681"/>
      <c r="I93" s="681"/>
      <c r="J93" s="681"/>
      <c r="K93" s="681"/>
      <c r="L93" s="681"/>
      <c r="M93" s="681"/>
      <c r="N93" s="681"/>
      <c r="O93" s="681"/>
      <c r="P93" s="681"/>
      <c r="Q93" s="681"/>
      <c r="R93" s="681"/>
      <c r="S93" s="681"/>
      <c r="T93" s="681"/>
      <c r="U93" s="681"/>
      <c r="V93" s="681"/>
      <c r="W93" s="681"/>
      <c r="X93" s="681"/>
      <c r="Y93" s="681"/>
      <c r="Z93" s="681"/>
      <c r="AA93" s="681"/>
      <c r="AB93" s="681"/>
      <c r="AC93" s="120"/>
      <c r="AD93" s="115"/>
      <c r="AE93" s="115"/>
      <c r="AF93" s="115"/>
      <c r="AG93" s="115"/>
      <c r="AH93" s="115"/>
      <c r="AI93" s="115"/>
      <c r="AJ93" s="115"/>
      <c r="AK93" s="115"/>
      <c r="AL93" s="115"/>
      <c r="AM93" s="115"/>
      <c r="AN93" s="115"/>
      <c r="AO93" s="115"/>
      <c r="AP93" s="115"/>
      <c r="AQ93" s="115"/>
    </row>
    <row r="94" spans="2:43" ht="13.6" x14ac:dyDescent="0.25">
      <c r="B94" s="120"/>
      <c r="C94" s="463" t="s">
        <v>2847</v>
      </c>
      <c r="D94" s="119"/>
      <c r="E94" s="119"/>
      <c r="F94" s="119"/>
      <c r="G94" s="119"/>
      <c r="H94" s="119"/>
      <c r="I94" s="119"/>
      <c r="J94" s="119"/>
      <c r="K94" s="119"/>
      <c r="L94" s="119"/>
      <c r="M94" s="119"/>
      <c r="N94" s="119"/>
      <c r="O94" s="119"/>
      <c r="P94" s="119"/>
      <c r="Q94" s="119"/>
      <c r="R94" s="119"/>
      <c r="S94" s="119"/>
      <c r="T94" s="122"/>
      <c r="U94" s="122"/>
      <c r="V94" s="274"/>
      <c r="W94" s="122"/>
      <c r="X94" s="122"/>
      <c r="Y94" s="122"/>
      <c r="Z94" s="122"/>
      <c r="AA94" s="122"/>
      <c r="AB94" s="122"/>
      <c r="AC94" s="120"/>
      <c r="AD94" s="115"/>
      <c r="AE94" s="115"/>
      <c r="AF94" s="115"/>
      <c r="AG94" s="115"/>
      <c r="AH94" s="115"/>
      <c r="AI94" s="115"/>
      <c r="AJ94" s="115"/>
      <c r="AK94" s="115"/>
      <c r="AL94" s="115"/>
      <c r="AM94" s="115"/>
      <c r="AN94" s="115"/>
      <c r="AO94" s="115"/>
      <c r="AP94" s="115"/>
      <c r="AQ94" s="115"/>
    </row>
    <row r="95" spans="2:43" ht="15.65" x14ac:dyDescent="0.25">
      <c r="B95" s="120"/>
      <c r="C95" s="436">
        <v>1</v>
      </c>
      <c r="D95" s="233" t="s">
        <v>3380</v>
      </c>
      <c r="E95" s="119"/>
      <c r="F95" s="119"/>
      <c r="G95" s="119"/>
      <c r="H95" s="119"/>
      <c r="I95" s="119"/>
      <c r="J95" s="119"/>
      <c r="K95" s="119"/>
      <c r="L95" s="119"/>
      <c r="M95" s="119"/>
      <c r="N95" s="119"/>
      <c r="O95" s="119"/>
      <c r="P95" s="119"/>
      <c r="Q95" s="119"/>
      <c r="R95" s="119"/>
      <c r="S95" s="119"/>
      <c r="T95" s="122"/>
      <c r="U95" s="122"/>
      <c r="V95" s="274"/>
      <c r="W95" s="122"/>
      <c r="X95" s="122"/>
      <c r="Y95" s="122"/>
      <c r="Z95" s="122"/>
      <c r="AA95" s="122"/>
      <c r="AB95" s="122"/>
      <c r="AC95" s="120"/>
      <c r="AD95" s="115"/>
      <c r="AE95" s="115"/>
      <c r="AF95" s="115"/>
      <c r="AG95" s="115"/>
      <c r="AH95" s="115"/>
      <c r="AI95" s="115"/>
      <c r="AJ95" s="115"/>
      <c r="AK95" s="115"/>
      <c r="AL95" s="115"/>
      <c r="AM95" s="115"/>
      <c r="AN95" s="115"/>
      <c r="AO95" s="115"/>
      <c r="AP95" s="115"/>
      <c r="AQ95" s="115"/>
    </row>
    <row r="96" spans="2:43" ht="15.65" x14ac:dyDescent="0.25">
      <c r="B96" s="120"/>
      <c r="C96" s="436">
        <v>2</v>
      </c>
      <c r="D96" s="455" t="s">
        <v>3378</v>
      </c>
      <c r="E96" s="119"/>
      <c r="F96" s="119"/>
      <c r="G96" s="119"/>
      <c r="H96" s="119"/>
      <c r="I96" s="119"/>
      <c r="J96" s="119"/>
      <c r="K96" s="119"/>
      <c r="L96" s="119"/>
      <c r="M96" s="119"/>
      <c r="N96" s="119"/>
      <c r="O96" s="119"/>
      <c r="P96" s="119"/>
      <c r="Q96" s="119"/>
      <c r="R96" s="119"/>
      <c r="S96" s="119"/>
      <c r="T96" s="122"/>
      <c r="U96" s="122"/>
      <c r="V96" s="274"/>
      <c r="W96" s="122"/>
      <c r="X96" s="122"/>
      <c r="Y96" s="122"/>
      <c r="Z96" s="122"/>
      <c r="AA96" s="122"/>
      <c r="AB96" s="122"/>
      <c r="AC96" s="120"/>
      <c r="AD96" s="115"/>
      <c r="AE96" s="115"/>
      <c r="AF96" s="115"/>
      <c r="AG96" s="115"/>
      <c r="AH96" s="115"/>
      <c r="AI96" s="115"/>
      <c r="AJ96" s="115"/>
      <c r="AK96" s="115"/>
      <c r="AL96" s="115"/>
      <c r="AM96" s="115"/>
      <c r="AN96" s="115"/>
      <c r="AO96" s="115"/>
      <c r="AP96" s="115"/>
      <c r="AQ96" s="115"/>
    </row>
    <row r="97" spans="2:43" ht="17" x14ac:dyDescent="0.35">
      <c r="B97" s="120"/>
      <c r="C97" s="437">
        <v>3</v>
      </c>
      <c r="D97" s="233" t="s">
        <v>3379</v>
      </c>
      <c r="E97" s="119"/>
      <c r="F97" s="119"/>
      <c r="G97" s="119"/>
      <c r="H97" s="119"/>
      <c r="I97" s="119"/>
      <c r="J97" s="119"/>
      <c r="K97" s="119"/>
      <c r="L97" s="119"/>
      <c r="M97" s="119"/>
      <c r="N97" s="119"/>
      <c r="O97" s="119"/>
      <c r="P97" s="119"/>
      <c r="Q97" s="119"/>
      <c r="R97" s="119"/>
      <c r="S97" s="119"/>
      <c r="T97" s="122"/>
      <c r="U97" s="122"/>
      <c r="V97" s="274"/>
      <c r="W97" s="122"/>
      <c r="X97" s="122"/>
      <c r="Y97" s="122"/>
      <c r="Z97" s="122"/>
      <c r="AA97" s="122"/>
      <c r="AB97" s="122"/>
      <c r="AC97" s="120"/>
      <c r="AD97" s="115"/>
      <c r="AE97" s="115"/>
      <c r="AF97" s="115"/>
      <c r="AG97" s="115"/>
      <c r="AH97" s="115"/>
      <c r="AI97" s="115"/>
      <c r="AJ97" s="115"/>
      <c r="AK97" s="115"/>
      <c r="AL97" s="115"/>
      <c r="AM97" s="115"/>
      <c r="AN97" s="115"/>
      <c r="AO97" s="115"/>
      <c r="AP97" s="115"/>
      <c r="AQ97" s="115"/>
    </row>
    <row r="98" spans="2:43" ht="15.65" x14ac:dyDescent="0.25">
      <c r="B98" s="120"/>
      <c r="C98" s="436">
        <v>4</v>
      </c>
      <c r="D98" s="455" t="s">
        <v>3381</v>
      </c>
      <c r="E98" s="120"/>
      <c r="F98" s="120"/>
      <c r="G98" s="120"/>
      <c r="H98" s="120"/>
      <c r="I98" s="120"/>
      <c r="J98" s="120"/>
      <c r="K98" s="120"/>
      <c r="L98" s="120"/>
      <c r="M98" s="120"/>
      <c r="N98" s="209"/>
      <c r="O98" s="119"/>
      <c r="P98" s="119"/>
      <c r="Q98" s="119"/>
      <c r="R98" s="119"/>
      <c r="S98" s="119"/>
      <c r="T98" s="122"/>
      <c r="U98" s="119"/>
      <c r="V98" s="119"/>
      <c r="W98" s="119"/>
      <c r="X98" s="119"/>
      <c r="Y98" s="119"/>
      <c r="Z98" s="119"/>
      <c r="AA98" s="119"/>
      <c r="AB98" s="119"/>
      <c r="AC98" s="120"/>
      <c r="AD98" s="115"/>
      <c r="AE98" s="115"/>
      <c r="AF98" s="115"/>
      <c r="AG98" s="115"/>
      <c r="AH98" s="115"/>
      <c r="AI98" s="115"/>
      <c r="AJ98" s="115"/>
      <c r="AK98" s="115"/>
      <c r="AL98" s="115"/>
      <c r="AM98" s="115"/>
      <c r="AN98" s="115"/>
      <c r="AO98" s="115"/>
      <c r="AP98" s="115"/>
      <c r="AQ98" s="115"/>
    </row>
    <row r="99" spans="2:43" ht="14.95" x14ac:dyDescent="0.25">
      <c r="B99" s="120"/>
      <c r="C99" s="592">
        <v>5</v>
      </c>
      <c r="D99" s="679" t="s">
        <v>3377</v>
      </c>
      <c r="E99" s="680"/>
      <c r="F99" s="680"/>
      <c r="G99" s="680"/>
      <c r="H99" s="680"/>
      <c r="I99" s="680"/>
      <c r="J99" s="680"/>
      <c r="K99" s="680"/>
      <c r="L99" s="680"/>
      <c r="M99" s="680"/>
      <c r="N99" s="680"/>
      <c r="O99" s="680"/>
      <c r="P99" s="680"/>
      <c r="Q99" s="680"/>
      <c r="R99" s="680"/>
      <c r="S99" s="680"/>
      <c r="T99" s="680"/>
      <c r="U99" s="680"/>
      <c r="V99" s="680"/>
      <c r="W99" s="680"/>
      <c r="X99" s="680"/>
      <c r="Y99" s="680"/>
      <c r="Z99" s="680"/>
      <c r="AA99" s="680"/>
      <c r="AB99" s="680"/>
      <c r="AC99" s="120"/>
      <c r="AD99" s="115"/>
      <c r="AE99" s="115"/>
      <c r="AF99" s="115"/>
      <c r="AG99" s="115"/>
      <c r="AH99" s="115"/>
      <c r="AI99" s="115"/>
      <c r="AJ99" s="115"/>
      <c r="AK99" s="115"/>
      <c r="AL99" s="115"/>
      <c r="AM99" s="115"/>
      <c r="AN99" s="115"/>
      <c r="AO99" s="115"/>
      <c r="AP99" s="115"/>
      <c r="AQ99" s="115"/>
    </row>
    <row r="100" spans="2:43" ht="15.65" x14ac:dyDescent="0.25">
      <c r="B100" s="120"/>
      <c r="C100" s="559" t="s">
        <v>2965</v>
      </c>
      <c r="D100" s="455" t="s">
        <v>3300</v>
      </c>
      <c r="E100" s="120"/>
      <c r="F100" s="120"/>
      <c r="G100" s="120"/>
      <c r="H100" s="120"/>
      <c r="I100" s="120"/>
      <c r="J100" s="120"/>
      <c r="K100" s="120"/>
      <c r="L100" s="120"/>
      <c r="M100" s="120"/>
      <c r="N100" s="209"/>
      <c r="O100" s="119"/>
      <c r="P100" s="119"/>
      <c r="Q100" s="119"/>
      <c r="R100" s="119"/>
      <c r="S100" s="119"/>
      <c r="T100" s="122"/>
      <c r="U100" s="119"/>
      <c r="V100" s="119"/>
      <c r="W100" s="119"/>
      <c r="X100" s="119"/>
      <c r="Y100" s="119"/>
      <c r="Z100" s="119"/>
      <c r="AA100" s="119"/>
      <c r="AB100" s="119"/>
      <c r="AC100" s="120"/>
      <c r="AD100" s="115"/>
      <c r="AE100" s="115"/>
      <c r="AF100" s="115"/>
      <c r="AG100" s="115"/>
      <c r="AH100" s="115"/>
      <c r="AI100" s="115"/>
      <c r="AJ100" s="115"/>
      <c r="AK100" s="115"/>
      <c r="AL100" s="115"/>
      <c r="AM100" s="115"/>
      <c r="AN100" s="115"/>
      <c r="AO100" s="115"/>
      <c r="AP100" s="115"/>
      <c r="AQ100" s="115"/>
    </row>
    <row r="101" spans="2:43" ht="13.6" x14ac:dyDescent="0.25">
      <c r="B101" s="120"/>
      <c r="C101" s="463" t="s">
        <v>2846</v>
      </c>
      <c r="D101" s="122"/>
      <c r="E101" s="119"/>
      <c r="F101" s="119"/>
      <c r="G101" s="119"/>
      <c r="H101" s="119"/>
      <c r="I101" s="119"/>
      <c r="J101" s="119"/>
      <c r="K101" s="119"/>
      <c r="L101" s="119"/>
      <c r="M101" s="119"/>
      <c r="N101" s="119"/>
      <c r="O101" s="119"/>
      <c r="P101" s="119"/>
      <c r="Q101" s="119"/>
      <c r="R101" s="119"/>
      <c r="S101" s="119"/>
      <c r="T101" s="122"/>
      <c r="U101" s="119"/>
      <c r="V101" s="119"/>
      <c r="W101" s="119"/>
      <c r="X101" s="119"/>
      <c r="Y101" s="119"/>
      <c r="Z101" s="119"/>
      <c r="AA101" s="119"/>
      <c r="AB101" s="119"/>
      <c r="AC101" s="120"/>
      <c r="AD101" s="115"/>
      <c r="AE101" s="115"/>
      <c r="AF101" s="115"/>
      <c r="AG101" s="115"/>
      <c r="AH101" s="115"/>
      <c r="AI101" s="115"/>
      <c r="AJ101" s="115"/>
      <c r="AK101" s="115"/>
      <c r="AL101" s="115"/>
      <c r="AM101" s="115"/>
      <c r="AN101" s="115"/>
      <c r="AO101" s="115"/>
      <c r="AP101" s="115"/>
      <c r="AQ101" s="115"/>
    </row>
    <row r="102" spans="2:43" ht="13.6" x14ac:dyDescent="0.25">
      <c r="B102" s="120"/>
      <c r="C102" s="119"/>
      <c r="D102" s="496" t="s">
        <v>2866</v>
      </c>
      <c r="E102" s="119"/>
      <c r="F102" s="119"/>
      <c r="G102" s="119"/>
      <c r="H102" s="119"/>
      <c r="I102" s="119"/>
      <c r="J102" s="119"/>
      <c r="K102" s="119"/>
      <c r="L102" s="119"/>
      <c r="M102" s="119"/>
      <c r="N102" s="119"/>
      <c r="O102" s="119"/>
      <c r="P102" s="119"/>
      <c r="Q102" s="119"/>
      <c r="R102" s="119"/>
      <c r="S102" s="119"/>
      <c r="T102" s="122"/>
      <c r="U102" s="119"/>
      <c r="V102" s="119"/>
      <c r="W102" s="119"/>
      <c r="X102" s="119"/>
      <c r="Y102" s="119"/>
      <c r="Z102" s="119"/>
      <c r="AA102" s="119"/>
      <c r="AB102" s="119"/>
      <c r="AC102" s="120"/>
      <c r="AD102" s="115"/>
      <c r="AE102" s="115"/>
      <c r="AF102" s="115"/>
      <c r="AG102" s="115"/>
      <c r="AH102" s="115"/>
      <c r="AI102" s="115"/>
      <c r="AJ102" s="115"/>
      <c r="AK102" s="115"/>
      <c r="AL102" s="115"/>
      <c r="AM102" s="115"/>
      <c r="AN102" s="115"/>
      <c r="AO102" s="115"/>
      <c r="AP102" s="115"/>
      <c r="AQ102" s="115"/>
    </row>
    <row r="103" spans="2:43" ht="13.6" x14ac:dyDescent="0.25">
      <c r="B103" s="120"/>
      <c r="C103" s="119"/>
      <c r="D103" s="234" t="s">
        <v>2867</v>
      </c>
      <c r="E103" s="119"/>
      <c r="F103" s="119"/>
      <c r="G103" s="119"/>
      <c r="H103" s="119"/>
      <c r="I103" s="119"/>
      <c r="J103" s="119"/>
      <c r="K103" s="119"/>
      <c r="L103" s="119"/>
      <c r="M103" s="119"/>
      <c r="N103" s="119"/>
      <c r="O103" s="119"/>
      <c r="P103" s="119"/>
      <c r="Q103" s="119"/>
      <c r="R103" s="119"/>
      <c r="S103" s="119"/>
      <c r="T103" s="122"/>
      <c r="U103" s="119"/>
      <c r="V103" s="119"/>
      <c r="W103" s="119"/>
      <c r="X103" s="119"/>
      <c r="Y103" s="119"/>
      <c r="Z103" s="119"/>
      <c r="AA103" s="119"/>
      <c r="AB103" s="119"/>
      <c r="AC103" s="120"/>
      <c r="AD103" s="115"/>
      <c r="AE103" s="115"/>
      <c r="AF103" s="115"/>
      <c r="AG103" s="115"/>
      <c r="AH103" s="115"/>
      <c r="AI103" s="115"/>
      <c r="AJ103" s="115"/>
      <c r="AK103" s="115"/>
      <c r="AL103" s="115"/>
      <c r="AM103" s="115"/>
      <c r="AN103" s="115"/>
      <c r="AO103" s="115"/>
      <c r="AP103" s="115"/>
      <c r="AQ103" s="115"/>
    </row>
    <row r="104" spans="2:43" x14ac:dyDescent="0.2">
      <c r="B104" s="120"/>
      <c r="C104" s="119"/>
      <c r="D104" s="119"/>
      <c r="E104" s="119"/>
      <c r="F104" s="119"/>
      <c r="G104" s="119"/>
      <c r="H104" s="119"/>
      <c r="I104" s="119"/>
      <c r="J104" s="119"/>
      <c r="K104" s="119"/>
      <c r="L104" s="119"/>
      <c r="M104" s="119"/>
      <c r="N104" s="119"/>
      <c r="O104" s="119"/>
      <c r="P104" s="119"/>
      <c r="Q104" s="119"/>
      <c r="R104" s="119"/>
      <c r="S104" s="119"/>
      <c r="T104" s="122"/>
      <c r="U104" s="119"/>
      <c r="V104" s="119"/>
      <c r="W104" s="119"/>
      <c r="X104" s="119"/>
      <c r="Y104" s="119"/>
      <c r="Z104" s="119"/>
      <c r="AA104" s="119"/>
      <c r="AB104" s="119"/>
      <c r="AC104" s="120"/>
      <c r="AD104" s="115"/>
      <c r="AE104" s="115"/>
      <c r="AF104" s="115"/>
      <c r="AG104" s="115"/>
      <c r="AH104" s="115"/>
      <c r="AI104" s="115"/>
      <c r="AJ104" s="115"/>
      <c r="AK104" s="115"/>
      <c r="AL104" s="115"/>
      <c r="AM104" s="115"/>
      <c r="AN104" s="115"/>
      <c r="AO104" s="115"/>
      <c r="AP104" s="115"/>
      <c r="AQ104" s="115"/>
    </row>
    <row r="105" spans="2:43" ht="13.6" x14ac:dyDescent="0.25">
      <c r="B105" s="120"/>
      <c r="C105" s="463" t="s">
        <v>2853</v>
      </c>
      <c r="D105" s="119"/>
      <c r="E105" s="119"/>
      <c r="F105" s="119"/>
      <c r="G105" s="119"/>
      <c r="H105" s="119"/>
      <c r="I105" s="119"/>
      <c r="J105" s="119"/>
      <c r="K105" s="119"/>
      <c r="L105" s="119"/>
      <c r="M105" s="119"/>
      <c r="N105" s="119"/>
      <c r="O105" s="119"/>
      <c r="P105" s="119"/>
      <c r="Q105" s="119"/>
      <c r="R105" s="119"/>
      <c r="S105" s="119"/>
      <c r="T105" s="120"/>
      <c r="U105" s="119"/>
      <c r="V105" s="119"/>
      <c r="W105" s="119"/>
      <c r="X105" s="119"/>
      <c r="Y105" s="119"/>
      <c r="Z105" s="119"/>
      <c r="AA105" s="119"/>
      <c r="AB105" s="119"/>
      <c r="AC105" s="120"/>
      <c r="AD105" s="115"/>
      <c r="AE105" s="115"/>
      <c r="AF105" s="115"/>
      <c r="AG105" s="115"/>
      <c r="AH105" s="115"/>
      <c r="AI105" s="115"/>
      <c r="AJ105" s="115"/>
      <c r="AK105" s="115"/>
      <c r="AL105" s="115"/>
      <c r="AM105" s="115"/>
      <c r="AN105" s="115"/>
      <c r="AO105" s="115"/>
      <c r="AP105" s="115"/>
      <c r="AQ105" s="115"/>
    </row>
    <row r="106" spans="2:43" ht="13.6" x14ac:dyDescent="0.25">
      <c r="B106" s="120"/>
      <c r="C106" s="119"/>
      <c r="D106" s="464" t="s">
        <v>3894</v>
      </c>
      <c r="E106" s="119"/>
      <c r="F106" s="119"/>
      <c r="G106" s="119"/>
      <c r="H106" s="119"/>
      <c r="I106" s="119"/>
      <c r="J106" s="119"/>
      <c r="K106" s="119"/>
      <c r="L106" s="119"/>
      <c r="M106" s="119"/>
      <c r="N106" s="119"/>
      <c r="O106" s="119"/>
      <c r="P106" s="119"/>
      <c r="Q106" s="119"/>
      <c r="R106" s="119"/>
      <c r="S106" s="119"/>
      <c r="T106" s="465"/>
      <c r="U106" s="119"/>
      <c r="V106" s="119"/>
      <c r="W106" s="119"/>
      <c r="X106" s="119"/>
      <c r="Y106" s="119"/>
      <c r="Z106" s="119"/>
      <c r="AA106" s="119"/>
      <c r="AB106" s="119"/>
      <c r="AC106" s="120"/>
      <c r="AD106" s="115"/>
      <c r="AE106" s="115"/>
      <c r="AF106" s="115"/>
      <c r="AG106" s="115"/>
      <c r="AH106" s="115"/>
      <c r="AI106" s="115"/>
      <c r="AJ106" s="115"/>
      <c r="AK106" s="115"/>
      <c r="AL106" s="115"/>
      <c r="AM106" s="115"/>
      <c r="AN106" s="115"/>
      <c r="AO106" s="115"/>
      <c r="AP106" s="115"/>
      <c r="AQ106" s="115"/>
    </row>
    <row r="107" spans="2:43" ht="5.3" customHeight="1" x14ac:dyDescent="0.2">
      <c r="B107" s="120"/>
      <c r="C107" s="119"/>
      <c r="D107" s="119"/>
      <c r="E107" s="119"/>
      <c r="F107" s="119"/>
      <c r="G107" s="119"/>
      <c r="H107" s="119"/>
      <c r="I107" s="119"/>
      <c r="J107" s="119"/>
      <c r="K107" s="119"/>
      <c r="L107" s="119"/>
      <c r="M107" s="119"/>
      <c r="N107" s="119"/>
      <c r="O107" s="119"/>
      <c r="P107" s="119"/>
      <c r="Q107" s="119"/>
      <c r="R107" s="119"/>
      <c r="S107" s="119"/>
      <c r="T107" s="466"/>
      <c r="U107" s="119"/>
      <c r="V107" s="119"/>
      <c r="W107" s="119"/>
      <c r="X107" s="119"/>
      <c r="Y107" s="119"/>
      <c r="Z107" s="119"/>
      <c r="AA107" s="119"/>
      <c r="AB107" s="119"/>
      <c r="AC107" s="120"/>
      <c r="AD107" s="115"/>
      <c r="AE107" s="115"/>
      <c r="AF107" s="115"/>
      <c r="AG107" s="115"/>
      <c r="AH107" s="115"/>
      <c r="AI107" s="115"/>
      <c r="AJ107" s="115"/>
      <c r="AK107" s="115"/>
      <c r="AL107" s="115"/>
      <c r="AM107" s="115"/>
      <c r="AN107" s="115"/>
      <c r="AO107" s="115"/>
      <c r="AP107" s="115"/>
      <c r="AQ107" s="115"/>
    </row>
    <row r="108" spans="2:43" ht="12.75" customHeight="1" x14ac:dyDescent="0.2">
      <c r="B108" s="115"/>
      <c r="C108" s="114"/>
      <c r="D108" s="114"/>
      <c r="E108" s="114"/>
      <c r="F108" s="114"/>
      <c r="G108" s="114"/>
      <c r="H108" s="114"/>
      <c r="I108" s="114"/>
      <c r="J108" s="114"/>
      <c r="K108" s="114"/>
      <c r="L108" s="114"/>
      <c r="M108" s="114"/>
      <c r="N108" s="114"/>
      <c r="O108" s="114"/>
      <c r="P108" s="114"/>
      <c r="Q108" s="114"/>
      <c r="R108" s="114"/>
      <c r="S108" s="114"/>
      <c r="T108" s="557"/>
      <c r="U108" s="114"/>
      <c r="V108" s="114"/>
      <c r="W108" s="114"/>
      <c r="X108" s="114"/>
      <c r="Y108" s="114"/>
      <c r="Z108" s="114"/>
      <c r="AA108" s="114"/>
      <c r="AB108" s="114"/>
      <c r="AC108" s="115"/>
      <c r="AD108" s="115"/>
      <c r="AE108" s="115"/>
      <c r="AF108" s="115"/>
      <c r="AG108" s="115"/>
      <c r="AH108" s="115"/>
      <c r="AI108" s="115"/>
      <c r="AJ108" s="115"/>
      <c r="AK108" s="115"/>
      <c r="AL108" s="115"/>
      <c r="AM108" s="115"/>
      <c r="AN108" s="115"/>
      <c r="AO108" s="115"/>
      <c r="AP108" s="115"/>
      <c r="AQ108" s="115"/>
    </row>
    <row r="109" spans="2:43" ht="4.75" customHeight="1" x14ac:dyDescent="0.2">
      <c r="B109" s="115"/>
      <c r="C109" s="114"/>
      <c r="D109" s="114"/>
      <c r="E109" s="114"/>
      <c r="F109" s="114"/>
      <c r="G109" s="114"/>
      <c r="H109" s="114"/>
      <c r="I109" s="114"/>
      <c r="J109" s="114"/>
      <c r="K109" s="114"/>
      <c r="L109" s="114"/>
      <c r="M109" s="114"/>
      <c r="N109" s="114"/>
      <c r="O109" s="114"/>
      <c r="P109" s="114"/>
      <c r="Q109" s="114"/>
      <c r="R109" s="114"/>
      <c r="S109" s="114"/>
      <c r="T109" s="115"/>
      <c r="U109" s="114"/>
      <c r="V109" s="114"/>
      <c r="W109" s="114"/>
      <c r="X109" s="114"/>
      <c r="Y109" s="114"/>
      <c r="Z109" s="114"/>
      <c r="AA109" s="114"/>
      <c r="AB109" s="114"/>
      <c r="AC109" s="115"/>
      <c r="AD109" s="115"/>
      <c r="AE109" s="115"/>
      <c r="AF109" s="115"/>
      <c r="AG109" s="115"/>
      <c r="AH109" s="115"/>
      <c r="AI109" s="115"/>
      <c r="AJ109" s="115"/>
      <c r="AK109" s="115"/>
      <c r="AL109" s="115"/>
      <c r="AM109" s="115"/>
      <c r="AN109" s="115"/>
      <c r="AO109" s="115"/>
      <c r="AP109" s="115"/>
      <c r="AQ109" s="115"/>
    </row>
    <row r="110" spans="2:43" x14ac:dyDescent="0.2">
      <c r="B110" s="115"/>
      <c r="C110" s="119"/>
      <c r="D110" s="119"/>
      <c r="E110" s="119"/>
      <c r="F110" s="119"/>
      <c r="G110" s="119"/>
      <c r="H110" s="119"/>
      <c r="I110" s="119"/>
      <c r="J110" s="119"/>
      <c r="K110" s="119"/>
      <c r="L110" s="119"/>
      <c r="M110" s="119"/>
      <c r="N110" s="119"/>
      <c r="O110" s="119"/>
      <c r="P110" s="119"/>
      <c r="Q110" s="119"/>
      <c r="R110" s="119"/>
      <c r="S110" s="119"/>
      <c r="T110" s="119"/>
      <c r="U110" s="119"/>
      <c r="V110" s="119"/>
      <c r="W110" s="114"/>
      <c r="X110" s="114"/>
      <c r="Y110" s="114"/>
      <c r="Z110" s="114"/>
      <c r="AA110" s="114"/>
      <c r="AB110" s="114"/>
      <c r="AC110" s="198"/>
      <c r="AD110" s="115"/>
      <c r="AE110" s="115"/>
      <c r="AF110" s="115"/>
      <c r="AG110" s="115"/>
      <c r="AH110" s="115"/>
      <c r="AI110" s="115"/>
      <c r="AJ110" s="115"/>
      <c r="AK110" s="115"/>
      <c r="AL110" s="115"/>
      <c r="AM110" s="115"/>
      <c r="AN110" s="115"/>
      <c r="AO110" s="115"/>
      <c r="AP110" s="115"/>
      <c r="AQ110" s="115"/>
    </row>
    <row r="111" spans="2:43" x14ac:dyDescent="0.2">
      <c r="B111" s="115"/>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5"/>
      <c r="AD111" s="115"/>
      <c r="AE111" s="115"/>
      <c r="AF111" s="115"/>
      <c r="AG111" s="115"/>
      <c r="AH111" s="115"/>
      <c r="AI111" s="115"/>
      <c r="AJ111" s="115"/>
      <c r="AK111" s="115"/>
      <c r="AL111" s="115"/>
      <c r="AM111" s="115"/>
      <c r="AN111" s="115"/>
      <c r="AO111" s="115"/>
      <c r="AP111" s="115"/>
      <c r="AQ111" s="115"/>
    </row>
    <row r="112" spans="2:43" x14ac:dyDescent="0.2">
      <c r="B112" s="115"/>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5"/>
      <c r="AD112" s="115"/>
      <c r="AE112" s="115"/>
      <c r="AF112" s="115"/>
      <c r="AG112" s="115"/>
      <c r="AH112" s="115"/>
      <c r="AI112" s="115"/>
      <c r="AJ112" s="115"/>
      <c r="AK112" s="115"/>
      <c r="AL112" s="115"/>
      <c r="AM112" s="115"/>
      <c r="AN112" s="115"/>
      <c r="AO112" s="115"/>
      <c r="AP112" s="115"/>
      <c r="AQ112" s="115"/>
    </row>
    <row r="113" spans="1:55" x14ac:dyDescent="0.2">
      <c r="B113" s="115"/>
      <c r="C113" s="114"/>
      <c r="D113" s="114"/>
      <c r="E113" s="114"/>
      <c r="F113" s="114"/>
      <c r="G113" s="114"/>
      <c r="H113" s="114"/>
      <c r="I113" s="114"/>
      <c r="J113" s="114"/>
      <c r="K113" s="114"/>
      <c r="L113" s="114"/>
      <c r="M113" s="114"/>
      <c r="N113" s="114"/>
      <c r="O113" s="114"/>
      <c r="P113" s="114"/>
      <c r="Q113" s="114"/>
      <c r="R113" s="114"/>
      <c r="S113" s="114"/>
      <c r="T113" s="114"/>
      <c r="U113" s="115"/>
      <c r="V113" s="590"/>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row>
    <row r="114" spans="1:55" x14ac:dyDescent="0.2">
      <c r="B114" s="115"/>
      <c r="C114" s="633"/>
      <c r="D114" s="633"/>
      <c r="E114" s="633"/>
      <c r="F114" s="633"/>
      <c r="G114" s="633"/>
      <c r="H114" s="633"/>
      <c r="I114" s="633"/>
      <c r="J114" s="633"/>
      <c r="K114" s="633"/>
      <c r="L114" s="633"/>
      <c r="M114" s="633"/>
      <c r="N114" s="633"/>
      <c r="O114" s="633"/>
      <c r="P114" s="633"/>
      <c r="Q114" s="633"/>
      <c r="R114" s="633"/>
      <c r="S114" s="633"/>
      <c r="T114" s="633"/>
      <c r="U114" s="634"/>
      <c r="V114" s="635"/>
      <c r="W114" s="634"/>
      <c r="X114" s="634"/>
      <c r="Y114" s="634"/>
      <c r="Z114" s="634"/>
      <c r="AA114" s="634"/>
      <c r="AB114" s="634"/>
      <c r="AC114" s="634"/>
      <c r="AD114" s="115"/>
      <c r="AE114" s="115"/>
      <c r="AF114" s="115"/>
      <c r="AG114" s="115"/>
      <c r="AH114" s="115"/>
      <c r="AI114" s="115"/>
      <c r="AJ114" s="115"/>
      <c r="AK114" s="115"/>
      <c r="AL114" s="115"/>
      <c r="AM114" s="115"/>
      <c r="AN114" s="115"/>
      <c r="AO114" s="115"/>
      <c r="AP114" s="115"/>
      <c r="AQ114" s="115"/>
    </row>
    <row r="115" spans="1:55" x14ac:dyDescent="0.2">
      <c r="B115" s="115"/>
      <c r="C115" s="633"/>
      <c r="D115" s="633"/>
      <c r="E115" s="633"/>
      <c r="F115" s="633"/>
      <c r="G115" s="633"/>
      <c r="H115" s="633"/>
      <c r="I115" s="633"/>
      <c r="J115" s="633"/>
      <c r="K115" s="633"/>
      <c r="L115" s="633"/>
      <c r="M115" s="633"/>
      <c r="N115" s="633"/>
      <c r="O115" s="633"/>
      <c r="P115" s="633"/>
      <c r="Q115" s="633"/>
      <c r="R115" s="633"/>
      <c r="S115" s="633"/>
      <c r="T115" s="633"/>
      <c r="U115" s="634"/>
      <c r="V115" s="635"/>
      <c r="W115" s="634"/>
      <c r="X115" s="634"/>
      <c r="Y115" s="634"/>
      <c r="Z115" s="634"/>
      <c r="AA115" s="634"/>
      <c r="AB115" s="634"/>
      <c r="AC115" s="634"/>
      <c r="AD115" s="614"/>
      <c r="AE115" s="614"/>
      <c r="AF115" s="115"/>
      <c r="AG115" s="115"/>
      <c r="AH115" s="115"/>
      <c r="AI115" s="115"/>
      <c r="AJ115" s="115"/>
      <c r="AK115" s="115"/>
      <c r="AL115" s="115"/>
      <c r="AM115" s="115"/>
      <c r="AN115" s="115"/>
      <c r="AO115" s="115"/>
      <c r="AP115" s="115"/>
      <c r="AQ115" s="115"/>
    </row>
    <row r="116" spans="1:55" x14ac:dyDescent="0.2">
      <c r="B116" s="115"/>
      <c r="C116" s="633"/>
      <c r="D116" s="633"/>
      <c r="E116" s="633"/>
      <c r="F116" s="633"/>
      <c r="G116" s="633"/>
      <c r="H116" s="633"/>
      <c r="I116" s="633"/>
      <c r="J116" s="633"/>
      <c r="K116" s="633"/>
      <c r="L116" s="633"/>
      <c r="M116" s="633"/>
      <c r="N116" s="633"/>
      <c r="O116" s="633"/>
      <c r="P116" s="633"/>
      <c r="Q116" s="633"/>
      <c r="R116" s="633"/>
      <c r="S116" s="633"/>
      <c r="T116" s="633"/>
      <c r="U116" s="634"/>
      <c r="V116" s="635"/>
      <c r="W116" s="634"/>
      <c r="X116" s="634"/>
      <c r="Y116" s="634"/>
      <c r="Z116" s="634"/>
      <c r="AA116" s="634"/>
      <c r="AB116" s="634"/>
      <c r="AC116" s="634"/>
      <c r="AD116" s="614"/>
      <c r="AE116" s="614"/>
      <c r="AF116" s="115"/>
      <c r="AG116" s="115"/>
      <c r="AH116" s="115"/>
      <c r="AI116" s="115"/>
      <c r="AJ116" s="115"/>
      <c r="AK116" s="115"/>
      <c r="AL116" s="115"/>
      <c r="AM116" s="115"/>
      <c r="AN116" s="115"/>
      <c r="AO116" s="115"/>
      <c r="AP116" s="115"/>
      <c r="AQ116" s="115"/>
    </row>
    <row r="117" spans="1:55" x14ac:dyDescent="0.2">
      <c r="B117" s="115"/>
      <c r="C117" s="633" t="s">
        <v>2960</v>
      </c>
      <c r="D117" s="633"/>
      <c r="E117" s="633"/>
      <c r="F117" s="633"/>
      <c r="G117" s="633"/>
      <c r="H117" s="633"/>
      <c r="I117" s="633"/>
      <c r="J117" s="633"/>
      <c r="K117" s="633"/>
      <c r="L117" s="633"/>
      <c r="M117" s="633"/>
      <c r="N117" s="633"/>
      <c r="O117" s="633"/>
      <c r="P117" s="633"/>
      <c r="Q117" s="633"/>
      <c r="R117" s="633"/>
      <c r="S117" s="633"/>
      <c r="T117" s="633"/>
      <c r="U117" s="634"/>
      <c r="V117" s="635"/>
      <c r="W117" s="634"/>
      <c r="X117" s="634"/>
      <c r="Y117" s="634"/>
      <c r="Z117" s="634"/>
      <c r="AA117" s="634"/>
      <c r="AB117" s="634"/>
      <c r="AC117" s="634"/>
      <c r="AD117" s="614"/>
      <c r="AE117" s="614"/>
      <c r="AF117" s="115"/>
      <c r="AG117" s="115"/>
      <c r="AH117" s="115"/>
      <c r="AI117" s="115"/>
      <c r="AJ117" s="115"/>
      <c r="AK117" s="115"/>
      <c r="AL117" s="115"/>
      <c r="AM117" s="115"/>
      <c r="AN117" s="115"/>
      <c r="AO117" s="115"/>
      <c r="AP117" s="115"/>
      <c r="AQ117" s="115"/>
    </row>
    <row r="118" spans="1:55" ht="5.3" customHeight="1" x14ac:dyDescent="0.2">
      <c r="B118" s="115"/>
      <c r="C118" s="633" t="s">
        <v>2961</v>
      </c>
      <c r="D118" s="633"/>
      <c r="E118" s="633"/>
      <c r="F118" s="633"/>
      <c r="G118" s="633"/>
      <c r="H118" s="633"/>
      <c r="I118" s="633"/>
      <c r="J118" s="633"/>
      <c r="K118" s="633"/>
      <c r="L118" s="633"/>
      <c r="M118" s="633"/>
      <c r="N118" s="633"/>
      <c r="O118" s="633"/>
      <c r="P118" s="633"/>
      <c r="Q118" s="633"/>
      <c r="R118" s="633"/>
      <c r="S118" s="633"/>
      <c r="T118" s="633"/>
      <c r="U118" s="634"/>
      <c r="V118" s="635"/>
      <c r="W118" s="634"/>
      <c r="X118" s="634"/>
      <c r="Y118" s="634"/>
      <c r="Z118" s="634"/>
      <c r="AA118" s="634"/>
      <c r="AB118" s="634"/>
      <c r="AC118" s="634"/>
      <c r="AD118" s="614"/>
      <c r="AE118" s="614"/>
      <c r="AF118" s="115"/>
      <c r="AG118" s="115"/>
      <c r="AH118" s="115"/>
      <c r="AI118" s="115"/>
      <c r="AJ118" s="115"/>
      <c r="AK118" s="115"/>
      <c r="AL118" s="115"/>
      <c r="AM118" s="115"/>
      <c r="AN118" s="115"/>
      <c r="AO118" s="115"/>
      <c r="AP118" s="115"/>
      <c r="AQ118" s="115"/>
    </row>
    <row r="119" spans="1:55" x14ac:dyDescent="0.2">
      <c r="B119" s="115"/>
      <c r="C119" s="633" t="s">
        <v>2963</v>
      </c>
      <c r="D119" s="633"/>
      <c r="E119" s="633"/>
      <c r="F119" s="633"/>
      <c r="G119" s="633"/>
      <c r="H119" s="633"/>
      <c r="I119" s="633"/>
      <c r="J119" s="633"/>
      <c r="K119" s="633"/>
      <c r="L119" s="633"/>
      <c r="M119" s="633"/>
      <c r="N119" s="633"/>
      <c r="O119" s="633"/>
      <c r="P119" s="633"/>
      <c r="Q119" s="633"/>
      <c r="R119" s="633"/>
      <c r="S119" s="633"/>
      <c r="T119" s="633"/>
      <c r="U119" s="634"/>
      <c r="V119" s="635"/>
      <c r="W119" s="634"/>
      <c r="X119" s="634"/>
      <c r="Y119" s="634"/>
      <c r="Z119" s="634"/>
      <c r="AA119" s="634"/>
      <c r="AB119" s="634"/>
      <c r="AC119" s="634"/>
      <c r="AD119" s="614"/>
      <c r="AE119" s="614"/>
      <c r="AF119" s="115"/>
      <c r="AG119" s="115"/>
      <c r="AH119" s="115"/>
      <c r="AI119" s="115"/>
      <c r="AJ119" s="115"/>
      <c r="AK119" s="115"/>
      <c r="AL119" s="115"/>
      <c r="AM119" s="115"/>
      <c r="AN119" s="115"/>
      <c r="AO119" s="115"/>
      <c r="AP119" s="115"/>
      <c r="AQ119" s="115"/>
    </row>
    <row r="120" spans="1:55" x14ac:dyDescent="0.2">
      <c r="B120" s="114"/>
      <c r="C120" s="633" t="s">
        <v>2964</v>
      </c>
      <c r="D120" s="633"/>
      <c r="E120" s="633"/>
      <c r="F120" s="633"/>
      <c r="G120" s="633"/>
      <c r="H120" s="633"/>
      <c r="I120" s="633"/>
      <c r="J120" s="633"/>
      <c r="K120" s="633"/>
      <c r="L120" s="633"/>
      <c r="M120" s="633"/>
      <c r="N120" s="633"/>
      <c r="O120" s="633"/>
      <c r="P120" s="633"/>
      <c r="Q120" s="633"/>
      <c r="R120" s="633"/>
      <c r="S120" s="633"/>
      <c r="T120" s="633"/>
      <c r="U120" s="634"/>
      <c r="V120" s="635"/>
      <c r="W120" s="634"/>
      <c r="X120" s="634"/>
      <c r="Y120" s="634"/>
      <c r="Z120" s="634"/>
      <c r="AA120" s="634"/>
      <c r="AB120" s="634"/>
      <c r="AC120" s="634"/>
      <c r="AD120" s="614"/>
      <c r="AE120" s="614"/>
      <c r="AF120" s="115"/>
      <c r="AG120" s="115"/>
      <c r="AH120" s="115"/>
      <c r="AI120" s="115"/>
      <c r="AJ120" s="115"/>
      <c r="AK120" s="115"/>
      <c r="AL120" s="115"/>
      <c r="AM120" s="115"/>
      <c r="AN120" s="115"/>
      <c r="AO120" s="115"/>
      <c r="AP120" s="115"/>
      <c r="AQ120" s="115"/>
    </row>
    <row r="121" spans="1:55" x14ac:dyDescent="0.2">
      <c r="B121" s="114"/>
      <c r="C121" s="633"/>
      <c r="D121" s="633"/>
      <c r="E121" s="633"/>
      <c r="F121" s="633"/>
      <c r="G121" s="633"/>
      <c r="H121" s="633"/>
      <c r="I121" s="633"/>
      <c r="J121" s="633"/>
      <c r="K121" s="633"/>
      <c r="L121" s="633"/>
      <c r="M121" s="633"/>
      <c r="N121" s="633"/>
      <c r="O121" s="633"/>
      <c r="P121" s="633"/>
      <c r="Q121" s="633"/>
      <c r="R121" s="633"/>
      <c r="S121" s="633"/>
      <c r="T121" s="633"/>
      <c r="U121" s="634"/>
      <c r="V121" s="635"/>
      <c r="W121" s="634"/>
      <c r="X121" s="634"/>
      <c r="Y121" s="634"/>
      <c r="Z121" s="634"/>
      <c r="AA121" s="634"/>
      <c r="AB121" s="634"/>
      <c r="AC121" s="634"/>
      <c r="AD121" s="614"/>
      <c r="AE121" s="614"/>
      <c r="AF121" s="115"/>
      <c r="AG121" s="115"/>
      <c r="AH121" s="115"/>
      <c r="AI121" s="115"/>
      <c r="AJ121" s="115"/>
      <c r="AK121" s="115"/>
      <c r="AL121" s="115"/>
      <c r="AM121" s="115"/>
      <c r="AN121" s="115"/>
      <c r="AO121" s="115"/>
      <c r="AP121" s="115"/>
      <c r="AQ121" s="115"/>
    </row>
    <row r="122" spans="1:55" x14ac:dyDescent="0.2">
      <c r="B122" s="114"/>
      <c r="C122" s="633"/>
      <c r="D122" s="633"/>
      <c r="E122" s="633"/>
      <c r="F122" s="633"/>
      <c r="G122" s="633"/>
      <c r="H122" s="633"/>
      <c r="I122" s="633"/>
      <c r="J122" s="633"/>
      <c r="K122" s="633"/>
      <c r="L122" s="633"/>
      <c r="M122" s="633"/>
      <c r="N122" s="633"/>
      <c r="O122" s="633"/>
      <c r="P122" s="633"/>
      <c r="Q122" s="633"/>
      <c r="R122" s="633"/>
      <c r="S122" s="633"/>
      <c r="T122" s="633"/>
      <c r="U122" s="634"/>
      <c r="V122" s="635"/>
      <c r="W122" s="634"/>
      <c r="X122" s="634"/>
      <c r="Y122" s="634"/>
      <c r="Z122" s="634"/>
      <c r="AA122" s="634"/>
      <c r="AB122" s="634"/>
      <c r="AC122" s="634"/>
      <c r="AD122" s="613"/>
      <c r="AE122" s="614"/>
      <c r="AF122" s="115"/>
      <c r="AG122" s="115"/>
      <c r="AH122" s="114"/>
      <c r="AI122" s="114"/>
      <c r="AJ122" s="115"/>
      <c r="AK122" s="115"/>
      <c r="AL122" s="115"/>
      <c r="AM122" s="115"/>
      <c r="AN122" s="115"/>
      <c r="AO122" s="115"/>
      <c r="AP122" s="115"/>
      <c r="AQ122" s="115"/>
    </row>
    <row r="123" spans="1:55" s="78" customFormat="1" x14ac:dyDescent="0.2">
      <c r="A123" s="1"/>
      <c r="B123" s="114"/>
      <c r="C123" s="633"/>
      <c r="D123" s="633"/>
      <c r="E123" s="633"/>
      <c r="F123" s="633"/>
      <c r="G123" s="633"/>
      <c r="H123" s="633"/>
      <c r="I123" s="633"/>
      <c r="J123" s="633"/>
      <c r="K123" s="633"/>
      <c r="L123" s="633"/>
      <c r="M123" s="633"/>
      <c r="N123" s="633"/>
      <c r="O123" s="633"/>
      <c r="P123" s="633"/>
      <c r="Q123" s="633"/>
      <c r="R123" s="633"/>
      <c r="S123" s="633"/>
      <c r="T123" s="633"/>
      <c r="U123" s="634"/>
      <c r="V123" s="635"/>
      <c r="W123" s="634"/>
      <c r="X123" s="634"/>
      <c r="Y123" s="634"/>
      <c r="Z123" s="634"/>
      <c r="AA123" s="634"/>
      <c r="AB123" s="634"/>
      <c r="AC123" s="634"/>
      <c r="AD123" s="613"/>
      <c r="AE123" s="614"/>
      <c r="AF123" s="115"/>
      <c r="AG123" s="115"/>
      <c r="AH123" s="114"/>
      <c r="AI123" s="114"/>
      <c r="AJ123" s="115"/>
      <c r="AK123" s="115"/>
      <c r="AL123" s="115"/>
      <c r="AM123" s="115"/>
      <c r="AN123" s="115"/>
      <c r="AO123" s="115"/>
      <c r="AP123" s="198"/>
      <c r="AQ123" s="198"/>
      <c r="AR123" s="198"/>
      <c r="AS123" s="198"/>
      <c r="AT123" s="198"/>
      <c r="AU123" s="198"/>
      <c r="AV123" s="198"/>
      <c r="AW123" s="198"/>
      <c r="AX123" s="198"/>
      <c r="AY123" s="198"/>
      <c r="AZ123" s="198"/>
      <c r="BA123" s="198"/>
      <c r="BB123" s="198"/>
      <c r="BC123" s="198"/>
    </row>
    <row r="124" spans="1:55" s="78" customFormat="1" x14ac:dyDescent="0.2">
      <c r="A124" s="1"/>
      <c r="B124" s="114"/>
      <c r="C124" s="633" t="s">
        <v>2887</v>
      </c>
      <c r="D124" s="633"/>
      <c r="E124" s="633"/>
      <c r="F124" s="633"/>
      <c r="G124" s="636"/>
      <c r="H124" s="633"/>
      <c r="I124" s="633"/>
      <c r="J124" s="633"/>
      <c r="K124" s="633"/>
      <c r="L124" s="633"/>
      <c r="M124" s="633"/>
      <c r="N124" s="633"/>
      <c r="O124" s="633"/>
      <c r="P124" s="633"/>
      <c r="Q124" s="633"/>
      <c r="R124" s="633"/>
      <c r="S124" s="633"/>
      <c r="T124" s="633"/>
      <c r="U124" s="634"/>
      <c r="V124" s="635"/>
      <c r="W124" s="634"/>
      <c r="X124" s="634"/>
      <c r="Y124" s="634"/>
      <c r="Z124" s="634"/>
      <c r="AA124" s="634"/>
      <c r="AB124" s="634"/>
      <c r="AC124" s="634"/>
      <c r="AD124" s="613"/>
      <c r="AE124" s="614"/>
      <c r="AF124" s="115"/>
      <c r="AG124" s="115"/>
      <c r="AH124" s="114"/>
      <c r="AI124" s="114"/>
      <c r="AJ124" s="115"/>
      <c r="AK124" s="115"/>
      <c r="AL124" s="115"/>
      <c r="AM124" s="115"/>
      <c r="AN124" s="115"/>
      <c r="AO124" s="115"/>
      <c r="AP124" s="198"/>
      <c r="AQ124" s="198"/>
      <c r="AR124" s="198"/>
      <c r="AS124" s="198"/>
      <c r="AT124" s="198"/>
      <c r="AU124" s="198"/>
      <c r="AV124" s="198"/>
      <c r="AW124" s="198"/>
      <c r="AX124" s="198"/>
      <c r="AY124" s="198"/>
      <c r="AZ124" s="198"/>
      <c r="BA124" s="198"/>
      <c r="BB124" s="198"/>
      <c r="BC124" s="198"/>
    </row>
    <row r="125" spans="1:55" s="78" customFormat="1" x14ac:dyDescent="0.2">
      <c r="B125" s="114"/>
      <c r="C125" s="637">
        <f>I29/(G29-G32)</f>
        <v>0.83333333333333337</v>
      </c>
      <c r="D125" s="633"/>
      <c r="E125" s="633"/>
      <c r="F125" s="633"/>
      <c r="G125" s="633"/>
      <c r="H125" s="633"/>
      <c r="I125" s="633"/>
      <c r="J125" s="633"/>
      <c r="K125" s="633"/>
      <c r="L125" s="633"/>
      <c r="M125" s="633"/>
      <c r="N125" s="633"/>
      <c r="O125" s="633"/>
      <c r="P125" s="633"/>
      <c r="Q125" s="633"/>
      <c r="R125" s="633"/>
      <c r="S125" s="633"/>
      <c r="T125" s="633"/>
      <c r="U125" s="634"/>
      <c r="V125" s="635"/>
      <c r="W125" s="634"/>
      <c r="X125" s="634"/>
      <c r="Y125" s="634"/>
      <c r="Z125" s="634"/>
      <c r="AA125" s="634"/>
      <c r="AB125" s="634"/>
      <c r="AC125" s="634"/>
      <c r="AD125" s="613"/>
      <c r="AE125" s="613"/>
      <c r="AF125" s="114"/>
      <c r="AG125" s="114"/>
      <c r="AH125" s="114"/>
      <c r="AI125" s="114"/>
      <c r="AJ125" s="115"/>
      <c r="AK125" s="115"/>
      <c r="AL125" s="115"/>
      <c r="AM125" s="115"/>
      <c r="AN125" s="115"/>
      <c r="AO125" s="115"/>
      <c r="AP125" s="198"/>
      <c r="AQ125" s="198"/>
      <c r="AR125" s="198"/>
      <c r="AS125" s="198"/>
      <c r="AT125" s="198"/>
      <c r="AU125" s="198"/>
      <c r="AV125" s="198"/>
      <c r="AW125" s="198"/>
      <c r="AX125" s="198"/>
      <c r="AY125" s="198"/>
      <c r="AZ125" s="198"/>
      <c r="BA125" s="198"/>
      <c r="BB125" s="198"/>
      <c r="BC125" s="198"/>
    </row>
    <row r="126" spans="1:55" s="78" customFormat="1" x14ac:dyDescent="0.2">
      <c r="B126" s="114"/>
      <c r="C126" s="633"/>
      <c r="D126" s="633"/>
      <c r="E126" s="633"/>
      <c r="F126" s="633"/>
      <c r="G126" s="633"/>
      <c r="H126" s="633"/>
      <c r="I126" s="633"/>
      <c r="J126" s="633"/>
      <c r="K126" s="633"/>
      <c r="L126" s="633"/>
      <c r="M126" s="633"/>
      <c r="N126" s="633"/>
      <c r="O126" s="633"/>
      <c r="P126" s="633"/>
      <c r="Q126" s="633"/>
      <c r="R126" s="633"/>
      <c r="S126" s="633"/>
      <c r="T126" s="633"/>
      <c r="U126" s="634"/>
      <c r="V126" s="635"/>
      <c r="W126" s="634"/>
      <c r="X126" s="634"/>
      <c r="Y126" s="634"/>
      <c r="Z126" s="634"/>
      <c r="AA126" s="634"/>
      <c r="AB126" s="634"/>
      <c r="AC126" s="634"/>
      <c r="AD126" s="613"/>
      <c r="AE126" s="613"/>
      <c r="AF126" s="114"/>
      <c r="AG126" s="114"/>
      <c r="AH126" s="114"/>
      <c r="AI126" s="114"/>
      <c r="AJ126" s="115"/>
      <c r="AK126" s="115"/>
      <c r="AL126" s="115"/>
      <c r="AM126" s="115"/>
      <c r="AN126" s="115"/>
      <c r="AO126" s="115"/>
      <c r="AP126" s="198"/>
      <c r="AQ126" s="198"/>
      <c r="AR126" s="198"/>
      <c r="AS126" s="198"/>
      <c r="AT126" s="198"/>
      <c r="AU126" s="198"/>
      <c r="AV126" s="198"/>
      <c r="AW126" s="198"/>
      <c r="AX126" s="198"/>
      <c r="AY126" s="198"/>
      <c r="AZ126" s="198"/>
      <c r="BA126" s="198"/>
      <c r="BB126" s="198"/>
      <c r="BC126" s="198"/>
    </row>
    <row r="127" spans="1:55" s="78" customFormat="1" x14ac:dyDescent="0.2">
      <c r="B127" s="363"/>
      <c r="C127" s="633"/>
      <c r="D127" s="633"/>
      <c r="E127" s="633"/>
      <c r="F127" s="633"/>
      <c r="G127" s="633"/>
      <c r="H127" s="633"/>
      <c r="I127" s="633"/>
      <c r="J127" s="633"/>
      <c r="K127" s="633"/>
      <c r="L127" s="633"/>
      <c r="M127" s="633"/>
      <c r="N127" s="633"/>
      <c r="O127" s="633"/>
      <c r="P127" s="633"/>
      <c r="Q127" s="633"/>
      <c r="R127" s="633"/>
      <c r="S127" s="633"/>
      <c r="T127" s="633"/>
      <c r="U127" s="634"/>
      <c r="V127" s="635"/>
      <c r="W127" s="634"/>
      <c r="X127" s="634"/>
      <c r="Y127" s="634"/>
      <c r="Z127" s="634"/>
      <c r="AA127" s="634"/>
      <c r="AB127" s="634"/>
      <c r="AC127" s="634"/>
      <c r="AD127" s="613"/>
      <c r="AE127" s="613"/>
      <c r="AF127" s="114"/>
      <c r="AG127" s="114"/>
      <c r="AH127" s="114"/>
      <c r="AI127" s="114"/>
      <c r="AJ127" s="115"/>
      <c r="AK127" s="115"/>
      <c r="AL127" s="115"/>
      <c r="AM127" s="115"/>
      <c r="AN127" s="115"/>
      <c r="AO127" s="115"/>
      <c r="AP127" s="198"/>
      <c r="AQ127" s="198"/>
      <c r="AR127" s="198"/>
      <c r="AS127" s="198"/>
      <c r="AT127" s="198"/>
      <c r="AU127" s="198"/>
      <c r="AV127" s="198"/>
      <c r="AW127" s="198"/>
      <c r="AX127" s="198"/>
      <c r="AY127" s="198"/>
      <c r="AZ127" s="198"/>
      <c r="BA127" s="198"/>
      <c r="BB127" s="198"/>
      <c r="BC127" s="198"/>
    </row>
    <row r="128" spans="1:55" s="78" customFormat="1" x14ac:dyDescent="0.2">
      <c r="B128" s="363"/>
      <c r="C128" s="633"/>
      <c r="D128" s="633"/>
      <c r="E128" s="633"/>
      <c r="F128" s="633"/>
      <c r="G128" s="633"/>
      <c r="H128" s="633"/>
      <c r="I128" s="633"/>
      <c r="J128" s="633"/>
      <c r="K128" s="633"/>
      <c r="L128" s="633"/>
      <c r="M128" s="633"/>
      <c r="N128" s="633"/>
      <c r="O128" s="633"/>
      <c r="P128" s="633"/>
      <c r="Q128" s="633"/>
      <c r="R128" s="633"/>
      <c r="S128" s="633"/>
      <c r="T128" s="633"/>
      <c r="U128" s="634"/>
      <c r="V128" s="635"/>
      <c r="W128" s="634"/>
      <c r="X128" s="634"/>
      <c r="Y128" s="634"/>
      <c r="Z128" s="634"/>
      <c r="AA128" s="634"/>
      <c r="AB128" s="634"/>
      <c r="AC128" s="634"/>
      <c r="AD128" s="613"/>
      <c r="AE128" s="613"/>
      <c r="AF128" s="114"/>
      <c r="AG128" s="114"/>
      <c r="AH128" s="114"/>
      <c r="AI128" s="114"/>
      <c r="AJ128" s="115"/>
      <c r="AK128" s="115"/>
      <c r="AL128" s="115"/>
      <c r="AM128" s="115"/>
      <c r="AN128" s="115"/>
      <c r="AO128" s="115"/>
      <c r="AP128" s="198"/>
      <c r="AQ128" s="198"/>
      <c r="AR128" s="198"/>
      <c r="AS128" s="198"/>
      <c r="AT128" s="198"/>
      <c r="AU128" s="198"/>
      <c r="AV128" s="198"/>
      <c r="AW128" s="198"/>
      <c r="AX128" s="198"/>
      <c r="AY128" s="198"/>
      <c r="AZ128" s="198"/>
      <c r="BA128" s="198"/>
      <c r="BB128" s="198"/>
      <c r="BC128" s="198"/>
    </row>
    <row r="129" spans="2:55" s="78" customFormat="1" x14ac:dyDescent="0.2">
      <c r="B129" s="363"/>
      <c r="C129" s="633"/>
      <c r="D129" s="633"/>
      <c r="E129" s="633"/>
      <c r="F129" s="633"/>
      <c r="G129" s="633"/>
      <c r="H129" s="633"/>
      <c r="I129" s="633"/>
      <c r="J129" s="633"/>
      <c r="K129" s="633"/>
      <c r="L129" s="633"/>
      <c r="M129" s="633"/>
      <c r="N129" s="633"/>
      <c r="O129" s="633"/>
      <c r="P129" s="633"/>
      <c r="Q129" s="633"/>
      <c r="R129" s="633"/>
      <c r="S129" s="633"/>
      <c r="T129" s="633"/>
      <c r="U129" s="634"/>
      <c r="V129" s="635"/>
      <c r="W129" s="634"/>
      <c r="X129" s="634"/>
      <c r="Y129" s="634"/>
      <c r="Z129" s="634"/>
      <c r="AA129" s="634"/>
      <c r="AB129" s="634"/>
      <c r="AC129" s="634"/>
      <c r="AD129" s="613"/>
      <c r="AE129" s="613"/>
      <c r="AF129" s="114"/>
      <c r="AG129" s="114"/>
      <c r="AH129" s="114"/>
      <c r="AI129" s="114"/>
      <c r="AJ129" s="115"/>
      <c r="AK129" s="115"/>
      <c r="AL129" s="115"/>
      <c r="AM129" s="115"/>
      <c r="AN129" s="115"/>
      <c r="AO129" s="115"/>
      <c r="AP129" s="198"/>
      <c r="AQ129" s="198"/>
      <c r="AR129" s="198"/>
      <c r="AS129" s="198"/>
      <c r="AT129" s="198"/>
      <c r="AU129" s="198"/>
      <c r="AV129" s="198"/>
      <c r="AW129" s="198"/>
      <c r="AX129" s="198"/>
      <c r="AY129" s="198"/>
      <c r="AZ129" s="198"/>
      <c r="BA129" s="198"/>
      <c r="BB129" s="198"/>
      <c r="BC129" s="198"/>
    </row>
    <row r="130" spans="2:55" s="78" customFormat="1" x14ac:dyDescent="0.2">
      <c r="B130" s="363"/>
      <c r="C130" s="633"/>
      <c r="D130" s="633"/>
      <c r="E130" s="633"/>
      <c r="F130" s="633"/>
      <c r="G130" s="633"/>
      <c r="H130" s="633"/>
      <c r="I130" s="633"/>
      <c r="J130" s="633"/>
      <c r="K130" s="633"/>
      <c r="L130" s="633"/>
      <c r="M130" s="633"/>
      <c r="N130" s="633"/>
      <c r="O130" s="633"/>
      <c r="P130" s="633"/>
      <c r="Q130" s="633"/>
      <c r="R130" s="633"/>
      <c r="S130" s="633"/>
      <c r="T130" s="633"/>
      <c r="U130" s="634"/>
      <c r="V130" s="635"/>
      <c r="W130" s="634"/>
      <c r="X130" s="634"/>
      <c r="Y130" s="634"/>
      <c r="Z130" s="634"/>
      <c r="AA130" s="634"/>
      <c r="AB130" s="634"/>
      <c r="AC130" s="634"/>
      <c r="AD130" s="613"/>
      <c r="AE130" s="613"/>
      <c r="AF130" s="114"/>
      <c r="AG130" s="114"/>
      <c r="AH130" s="114"/>
      <c r="AI130" s="114"/>
      <c r="AJ130" s="115"/>
      <c r="AK130" s="115"/>
      <c r="AL130" s="115"/>
      <c r="AM130" s="115"/>
      <c r="AN130" s="115"/>
      <c r="AO130" s="115"/>
      <c r="AP130" s="198"/>
      <c r="AQ130" s="198"/>
      <c r="AR130" s="198"/>
      <c r="AS130" s="198"/>
      <c r="AT130" s="198"/>
      <c r="AU130" s="198"/>
      <c r="AV130" s="198"/>
      <c r="AW130" s="198"/>
      <c r="AX130" s="198"/>
      <c r="AY130" s="198"/>
      <c r="AZ130" s="198"/>
      <c r="BA130" s="198"/>
      <c r="BB130" s="198"/>
      <c r="BC130" s="198"/>
    </row>
    <row r="131" spans="2:55" s="78" customFormat="1" x14ac:dyDescent="0.2">
      <c r="B131" s="363"/>
      <c r="C131" s="633"/>
      <c r="D131" s="633"/>
      <c r="E131" s="633"/>
      <c r="F131" s="633"/>
      <c r="G131" s="633"/>
      <c r="H131" s="633"/>
      <c r="I131" s="633"/>
      <c r="J131" s="633"/>
      <c r="K131" s="633"/>
      <c r="L131" s="633"/>
      <c r="M131" s="633"/>
      <c r="N131" s="633"/>
      <c r="O131" s="633"/>
      <c r="P131" s="633"/>
      <c r="Q131" s="633"/>
      <c r="R131" s="633"/>
      <c r="S131" s="633"/>
      <c r="T131" s="633"/>
      <c r="U131" s="634"/>
      <c r="V131" s="635"/>
      <c r="W131" s="634"/>
      <c r="X131" s="634"/>
      <c r="Y131" s="634"/>
      <c r="Z131" s="634"/>
      <c r="AA131" s="634"/>
      <c r="AB131" s="634"/>
      <c r="AC131" s="634"/>
      <c r="AD131" s="613"/>
      <c r="AE131" s="613"/>
      <c r="AF131" s="114"/>
      <c r="AG131" s="114"/>
      <c r="AH131" s="114"/>
      <c r="AI131" s="114"/>
      <c r="AJ131" s="115"/>
      <c r="AK131" s="115"/>
      <c r="AL131" s="115"/>
      <c r="AM131" s="115"/>
      <c r="AN131" s="115"/>
      <c r="AO131" s="115"/>
      <c r="AP131" s="198"/>
      <c r="AQ131" s="198"/>
      <c r="AR131" s="198"/>
      <c r="AS131" s="198"/>
      <c r="AT131" s="198"/>
      <c r="AU131" s="198"/>
      <c r="AV131" s="198"/>
      <c r="AW131" s="198"/>
      <c r="AX131" s="198"/>
      <c r="AY131" s="198"/>
      <c r="AZ131" s="198"/>
      <c r="BA131" s="198"/>
      <c r="BB131" s="198"/>
      <c r="BC131" s="198"/>
    </row>
    <row r="132" spans="2:55" s="78" customFormat="1" x14ac:dyDescent="0.2">
      <c r="B132" s="363"/>
      <c r="C132" s="633"/>
      <c r="D132" s="633"/>
      <c r="E132" s="633"/>
      <c r="F132" s="633"/>
      <c r="G132" s="633"/>
      <c r="H132" s="633"/>
      <c r="I132" s="633"/>
      <c r="J132" s="633"/>
      <c r="K132" s="633"/>
      <c r="L132" s="633"/>
      <c r="M132" s="633"/>
      <c r="N132" s="633"/>
      <c r="O132" s="633"/>
      <c r="P132" s="633"/>
      <c r="Q132" s="633"/>
      <c r="R132" s="633"/>
      <c r="S132" s="633"/>
      <c r="T132" s="633"/>
      <c r="U132" s="634"/>
      <c r="V132" s="635"/>
      <c r="W132" s="634"/>
      <c r="X132" s="634"/>
      <c r="Y132" s="634"/>
      <c r="Z132" s="634"/>
      <c r="AA132" s="634"/>
      <c r="AB132" s="634"/>
      <c r="AC132" s="634"/>
      <c r="AD132" s="613"/>
      <c r="AE132" s="613"/>
      <c r="AF132" s="114"/>
      <c r="AG132" s="114"/>
      <c r="AH132" s="114"/>
      <c r="AI132" s="114"/>
      <c r="AJ132" s="115"/>
      <c r="AK132" s="115"/>
      <c r="AL132" s="115"/>
      <c r="AM132" s="115"/>
      <c r="AN132" s="115"/>
      <c r="AO132" s="115"/>
      <c r="AP132" s="198"/>
      <c r="AQ132" s="198"/>
      <c r="AR132" s="198"/>
      <c r="AS132" s="198"/>
      <c r="AT132" s="198"/>
      <c r="AU132" s="198"/>
      <c r="AV132" s="198"/>
      <c r="AW132" s="198"/>
      <c r="AX132" s="198"/>
      <c r="AY132" s="198"/>
      <c r="AZ132" s="198"/>
      <c r="BA132" s="198"/>
      <c r="BB132" s="198"/>
      <c r="BC132" s="198"/>
    </row>
    <row r="133" spans="2:55" s="78" customFormat="1" x14ac:dyDescent="0.2">
      <c r="B133" s="363"/>
      <c r="C133" s="633"/>
      <c r="D133" s="633"/>
      <c r="E133" s="633"/>
      <c r="F133" s="633"/>
      <c r="G133" s="633"/>
      <c r="H133" s="633"/>
      <c r="I133" s="633"/>
      <c r="J133" s="633"/>
      <c r="K133" s="633"/>
      <c r="L133" s="633"/>
      <c r="M133" s="633"/>
      <c r="N133" s="633"/>
      <c r="O133" s="633"/>
      <c r="P133" s="633"/>
      <c r="Q133" s="633"/>
      <c r="R133" s="633"/>
      <c r="S133" s="633"/>
      <c r="T133" s="633"/>
      <c r="U133" s="634"/>
      <c r="V133" s="635"/>
      <c r="W133" s="634"/>
      <c r="X133" s="634"/>
      <c r="Y133" s="634"/>
      <c r="Z133" s="634"/>
      <c r="AA133" s="634"/>
      <c r="AB133" s="634"/>
      <c r="AC133" s="634"/>
      <c r="AD133" s="613"/>
      <c r="AE133" s="613"/>
      <c r="AF133" s="114"/>
      <c r="AG133" s="114"/>
      <c r="AH133" s="114"/>
      <c r="AI133" s="114"/>
      <c r="AJ133" s="115"/>
      <c r="AK133" s="115"/>
      <c r="AL133" s="115"/>
      <c r="AM133" s="115"/>
      <c r="AN133" s="115"/>
      <c r="AO133" s="115"/>
      <c r="AP133" s="198"/>
      <c r="AQ133" s="198"/>
      <c r="AR133" s="198"/>
      <c r="AS133" s="198"/>
      <c r="AT133" s="198"/>
      <c r="AU133" s="198"/>
      <c r="AV133" s="198"/>
      <c r="AW133" s="198"/>
      <c r="AX133" s="198"/>
      <c r="AY133" s="198"/>
      <c r="AZ133" s="198"/>
      <c r="BA133" s="198"/>
      <c r="BB133" s="198"/>
      <c r="BC133" s="198"/>
    </row>
    <row r="134" spans="2:55" s="78" customFormat="1" x14ac:dyDescent="0.2">
      <c r="B134" s="363"/>
      <c r="C134" s="633"/>
      <c r="D134" s="633"/>
      <c r="E134" s="633"/>
      <c r="F134" s="633"/>
      <c r="G134" s="633"/>
      <c r="H134" s="633"/>
      <c r="I134" s="633"/>
      <c r="J134" s="633"/>
      <c r="K134" s="633"/>
      <c r="L134" s="633"/>
      <c r="M134" s="633"/>
      <c r="N134" s="633"/>
      <c r="O134" s="633"/>
      <c r="P134" s="633"/>
      <c r="Q134" s="633"/>
      <c r="R134" s="633"/>
      <c r="S134" s="633"/>
      <c r="T134" s="633"/>
      <c r="U134" s="634"/>
      <c r="V134" s="635"/>
      <c r="W134" s="634"/>
      <c r="X134" s="634"/>
      <c r="Y134" s="634"/>
      <c r="Z134" s="634"/>
      <c r="AA134" s="634"/>
      <c r="AB134" s="634"/>
      <c r="AC134" s="634"/>
      <c r="AD134" s="613"/>
      <c r="AE134" s="613"/>
      <c r="AF134" s="114"/>
      <c r="AG134" s="114"/>
      <c r="AH134" s="114"/>
      <c r="AI134" s="114"/>
      <c r="AJ134" s="115"/>
      <c r="AK134" s="115"/>
      <c r="AL134" s="115"/>
      <c r="AM134" s="115"/>
      <c r="AN134" s="115"/>
      <c r="AO134" s="115"/>
      <c r="AP134" s="198"/>
      <c r="AQ134" s="198"/>
      <c r="AR134" s="198"/>
      <c r="AS134" s="198"/>
      <c r="AT134" s="198"/>
      <c r="AU134" s="198"/>
      <c r="AV134" s="198"/>
      <c r="AW134" s="198"/>
      <c r="AX134" s="198"/>
      <c r="AY134" s="198"/>
      <c r="AZ134" s="198"/>
      <c r="BA134" s="198"/>
      <c r="BB134" s="198"/>
      <c r="BC134" s="198"/>
    </row>
    <row r="135" spans="2:55" s="78" customFormat="1" x14ac:dyDescent="0.2">
      <c r="B135" s="363"/>
      <c r="C135" s="633"/>
      <c r="D135" s="633"/>
      <c r="E135" s="633"/>
      <c r="F135" s="633"/>
      <c r="G135" s="633"/>
      <c r="H135" s="633"/>
      <c r="I135" s="633"/>
      <c r="J135" s="633"/>
      <c r="K135" s="633"/>
      <c r="L135" s="633"/>
      <c r="M135" s="633"/>
      <c r="N135" s="633"/>
      <c r="O135" s="633"/>
      <c r="P135" s="633"/>
      <c r="Q135" s="633"/>
      <c r="R135" s="633"/>
      <c r="S135" s="633"/>
      <c r="T135" s="633"/>
      <c r="U135" s="634"/>
      <c r="V135" s="635"/>
      <c r="W135" s="634"/>
      <c r="X135" s="634"/>
      <c r="Y135" s="634"/>
      <c r="Z135" s="634"/>
      <c r="AA135" s="634"/>
      <c r="AB135" s="634"/>
      <c r="AC135" s="634"/>
      <c r="AD135" s="613"/>
      <c r="AE135" s="613"/>
      <c r="AF135" s="114"/>
      <c r="AG135" s="114"/>
      <c r="AH135" s="114"/>
      <c r="AI135" s="114"/>
      <c r="AJ135" s="115"/>
      <c r="AK135" s="115"/>
      <c r="AL135" s="115"/>
      <c r="AM135" s="115"/>
      <c r="AN135" s="115"/>
      <c r="AO135" s="115"/>
      <c r="AP135" s="198"/>
      <c r="AQ135" s="198"/>
      <c r="AR135" s="198"/>
      <c r="AS135" s="198"/>
      <c r="AT135" s="198"/>
      <c r="AU135" s="198"/>
      <c r="AV135" s="198"/>
      <c r="AW135" s="198"/>
      <c r="AX135" s="198"/>
      <c r="AY135" s="198"/>
      <c r="AZ135" s="198"/>
      <c r="BA135" s="198"/>
      <c r="BB135" s="198"/>
      <c r="BC135" s="198"/>
    </row>
    <row r="136" spans="2:55" s="78" customFormat="1" x14ac:dyDescent="0.2">
      <c r="B136" s="363"/>
      <c r="C136" s="633">
        <f>VLOOKUP($G$12,'Daten-Elektrofahrzeug'!C6:M269,'Daten-Elektrofahrzeug'!K5,FALSE)</f>
        <v>0</v>
      </c>
      <c r="D136" s="633" t="str">
        <f>IF(C136=0,"Hersteller bietet keine Akku-Mietvariante!","Akkumietvariante möglich")</f>
        <v>Hersteller bietet keine Akku-Mietvariante!</v>
      </c>
      <c r="E136" s="633"/>
      <c r="F136" s="633"/>
      <c r="G136" s="633"/>
      <c r="H136" s="633" t="str">
        <f>D137</f>
        <v>Akku kaufen!</v>
      </c>
      <c r="I136" s="633"/>
      <c r="J136" s="633"/>
      <c r="K136" s="633"/>
      <c r="L136" s="633"/>
      <c r="M136" s="633"/>
      <c r="N136" s="633"/>
      <c r="O136" s="633"/>
      <c r="P136" s="633"/>
      <c r="Q136" s="633"/>
      <c r="R136" s="633"/>
      <c r="S136" s="633"/>
      <c r="T136" s="633"/>
      <c r="U136" s="634"/>
      <c r="V136" s="635"/>
      <c r="W136" s="634"/>
      <c r="X136" s="634"/>
      <c r="Y136" s="634"/>
      <c r="Z136" s="634"/>
      <c r="AA136" s="634"/>
      <c r="AB136" s="634"/>
      <c r="AC136" s="634"/>
      <c r="AD136" s="613"/>
      <c r="AE136" s="613"/>
      <c r="AF136" s="114"/>
      <c r="AG136" s="114"/>
      <c r="AH136" s="114"/>
      <c r="AI136" s="114"/>
      <c r="AJ136" s="115"/>
      <c r="AK136" s="115"/>
      <c r="AL136" s="115"/>
      <c r="AM136" s="115"/>
      <c r="AN136" s="115"/>
      <c r="AO136" s="115"/>
      <c r="AP136" s="198"/>
      <c r="AQ136" s="198"/>
      <c r="AR136" s="198"/>
      <c r="AS136" s="198"/>
      <c r="AT136" s="198"/>
      <c r="AU136" s="198"/>
      <c r="AV136" s="198"/>
      <c r="AW136" s="198"/>
      <c r="AX136" s="198"/>
      <c r="AY136" s="198"/>
      <c r="AZ136" s="198"/>
      <c r="BA136" s="198"/>
      <c r="BB136" s="198"/>
      <c r="BC136" s="198"/>
    </row>
    <row r="137" spans="2:55" s="78" customFormat="1" x14ac:dyDescent="0.2">
      <c r="B137" s="363"/>
      <c r="C137" s="633"/>
      <c r="D137" s="633" t="s">
        <v>3121</v>
      </c>
      <c r="E137" s="633"/>
      <c r="F137" s="633"/>
      <c r="G137" s="633"/>
      <c r="H137" s="633" t="str">
        <f>IF(D136="Hersteller bietet keine Akku-Mietvariante!","",D138)</f>
        <v/>
      </c>
      <c r="I137" s="633"/>
      <c r="J137" s="633"/>
      <c r="K137" s="633"/>
      <c r="L137" s="633"/>
      <c r="M137" s="633"/>
      <c r="N137" s="633"/>
      <c r="O137" s="633"/>
      <c r="P137" s="633"/>
      <c r="Q137" s="633"/>
      <c r="R137" s="633"/>
      <c r="S137" s="633"/>
      <c r="T137" s="633"/>
      <c r="U137" s="634"/>
      <c r="V137" s="635"/>
      <c r="W137" s="634"/>
      <c r="X137" s="634"/>
      <c r="Y137" s="634"/>
      <c r="Z137" s="634"/>
      <c r="AA137" s="634"/>
      <c r="AB137" s="634"/>
      <c r="AC137" s="634"/>
      <c r="AD137" s="613"/>
      <c r="AE137" s="613"/>
      <c r="AF137" s="114"/>
      <c r="AG137" s="114"/>
      <c r="AH137" s="114"/>
      <c r="AI137" s="114"/>
      <c r="AJ137" s="115"/>
      <c r="AK137" s="115"/>
      <c r="AL137" s="115"/>
      <c r="AM137" s="115"/>
      <c r="AN137" s="115"/>
      <c r="AO137" s="115"/>
      <c r="AP137" s="198"/>
      <c r="AQ137" s="198"/>
      <c r="AR137" s="198"/>
      <c r="AS137" s="198"/>
      <c r="AT137" s="198"/>
      <c r="AU137" s="198"/>
      <c r="AV137" s="198"/>
      <c r="AW137" s="198"/>
      <c r="AX137" s="198"/>
      <c r="AY137" s="198"/>
      <c r="AZ137" s="198"/>
      <c r="BA137" s="198"/>
      <c r="BB137" s="198"/>
      <c r="BC137" s="198"/>
    </row>
    <row r="138" spans="2:55" s="78" customFormat="1" x14ac:dyDescent="0.2">
      <c r="B138" s="363"/>
      <c r="C138" s="633"/>
      <c r="D138" s="633" t="s">
        <v>3122</v>
      </c>
      <c r="E138" s="633"/>
      <c r="F138" s="633"/>
      <c r="G138" s="633"/>
      <c r="H138" s="633"/>
      <c r="I138" s="633"/>
      <c r="J138" s="633"/>
      <c r="K138" s="633"/>
      <c r="L138" s="633"/>
      <c r="M138" s="633"/>
      <c r="N138" s="633"/>
      <c r="O138" s="633"/>
      <c r="P138" s="633"/>
      <c r="Q138" s="633"/>
      <c r="R138" s="633"/>
      <c r="S138" s="633"/>
      <c r="T138" s="633"/>
      <c r="U138" s="634"/>
      <c r="V138" s="635"/>
      <c r="W138" s="634"/>
      <c r="X138" s="634"/>
      <c r="Y138" s="634"/>
      <c r="Z138" s="634"/>
      <c r="AA138" s="634"/>
      <c r="AB138" s="634"/>
      <c r="AC138" s="634"/>
      <c r="AD138" s="613"/>
      <c r="AE138" s="613"/>
      <c r="AF138" s="114"/>
      <c r="AG138" s="114"/>
      <c r="AH138" s="114"/>
      <c r="AI138" s="114"/>
      <c r="AJ138" s="115"/>
      <c r="AK138" s="115"/>
      <c r="AL138" s="115"/>
      <c r="AM138" s="115"/>
      <c r="AN138" s="115"/>
      <c r="AO138" s="115"/>
      <c r="AP138" s="198"/>
      <c r="AQ138" s="198"/>
      <c r="AR138" s="198"/>
      <c r="AS138" s="198"/>
      <c r="AT138" s="198"/>
      <c r="AU138" s="198"/>
      <c r="AV138" s="198"/>
      <c r="AW138" s="198"/>
      <c r="AX138" s="198"/>
      <c r="AY138" s="198"/>
      <c r="AZ138" s="198"/>
      <c r="BA138" s="198"/>
      <c r="BB138" s="198"/>
      <c r="BC138" s="198"/>
    </row>
    <row r="139" spans="2:55" s="78" customFormat="1" x14ac:dyDescent="0.2">
      <c r="B139" s="363"/>
      <c r="C139" s="633"/>
      <c r="D139" s="633"/>
      <c r="E139" s="633"/>
      <c r="F139" s="633"/>
      <c r="G139" s="633"/>
      <c r="H139" s="633"/>
      <c r="I139" s="633"/>
      <c r="J139" s="633"/>
      <c r="K139" s="633"/>
      <c r="L139" s="633"/>
      <c r="M139" s="633"/>
      <c r="N139" s="633"/>
      <c r="O139" s="633"/>
      <c r="P139" s="633"/>
      <c r="Q139" s="633"/>
      <c r="R139" s="633"/>
      <c r="S139" s="633"/>
      <c r="T139" s="633"/>
      <c r="U139" s="634"/>
      <c r="V139" s="633"/>
      <c r="W139" s="633"/>
      <c r="X139" s="633"/>
      <c r="Y139" s="633"/>
      <c r="Z139" s="633"/>
      <c r="AA139" s="633"/>
      <c r="AB139" s="633"/>
      <c r="AC139" s="634"/>
      <c r="AD139" s="613"/>
      <c r="AE139" s="613"/>
      <c r="AF139" s="114"/>
      <c r="AG139" s="114"/>
      <c r="AH139" s="114"/>
      <c r="AI139" s="114"/>
      <c r="AJ139" s="115"/>
      <c r="AK139" s="115"/>
      <c r="AL139" s="115"/>
      <c r="AM139" s="115"/>
      <c r="AN139" s="115"/>
      <c r="AO139" s="115"/>
      <c r="AP139" s="198"/>
      <c r="AQ139" s="198"/>
      <c r="AR139" s="198"/>
      <c r="AS139" s="198"/>
      <c r="AT139" s="198"/>
      <c r="AU139" s="198"/>
      <c r="AV139" s="198"/>
      <c r="AW139" s="198"/>
      <c r="AX139" s="198"/>
      <c r="AY139" s="198"/>
      <c r="AZ139" s="198"/>
      <c r="BA139" s="198"/>
      <c r="BB139" s="198"/>
      <c r="BC139" s="198"/>
    </row>
    <row r="140" spans="2:55" s="78" customFormat="1" x14ac:dyDescent="0.2">
      <c r="B140" s="363"/>
      <c r="C140" s="633"/>
      <c r="D140" s="633"/>
      <c r="E140" s="633"/>
      <c r="F140" s="633"/>
      <c r="G140" s="633"/>
      <c r="H140" s="633"/>
      <c r="I140" s="633"/>
      <c r="J140" s="633"/>
      <c r="K140" s="633"/>
      <c r="L140" s="633"/>
      <c r="M140" s="633"/>
      <c r="N140" s="633"/>
      <c r="O140" s="633"/>
      <c r="P140" s="633"/>
      <c r="Q140" s="633"/>
      <c r="R140" s="633"/>
      <c r="S140" s="633"/>
      <c r="T140" s="633"/>
      <c r="U140" s="633"/>
      <c r="V140" s="633"/>
      <c r="W140" s="633"/>
      <c r="X140" s="633"/>
      <c r="Y140" s="633"/>
      <c r="Z140" s="633"/>
      <c r="AA140" s="633"/>
      <c r="AB140" s="633"/>
      <c r="AC140" s="634"/>
      <c r="AD140" s="613"/>
      <c r="AE140" s="613"/>
      <c r="AF140" s="114"/>
      <c r="AG140" s="114"/>
      <c r="AH140" s="114"/>
      <c r="AI140" s="114"/>
      <c r="AJ140" s="115"/>
      <c r="AK140" s="115"/>
      <c r="AL140" s="115"/>
      <c r="AM140" s="115"/>
      <c r="AN140" s="115"/>
      <c r="AO140" s="115"/>
      <c r="AP140" s="198"/>
      <c r="AQ140" s="198"/>
      <c r="AR140" s="198"/>
      <c r="AS140" s="198"/>
      <c r="AT140" s="198"/>
      <c r="AU140" s="198"/>
      <c r="AV140" s="198"/>
      <c r="AW140" s="198"/>
      <c r="AX140" s="198"/>
      <c r="AY140" s="198"/>
      <c r="AZ140" s="198"/>
      <c r="BA140" s="198"/>
      <c r="BB140" s="198"/>
      <c r="BC140" s="198"/>
    </row>
    <row r="141" spans="2:55" s="78" customFormat="1" x14ac:dyDescent="0.2">
      <c r="B141" s="363"/>
      <c r="C141" s="633"/>
      <c r="D141" s="633"/>
      <c r="E141" s="633"/>
      <c r="F141" s="633"/>
      <c r="G141" s="633"/>
      <c r="H141" s="633"/>
      <c r="I141" s="633"/>
      <c r="J141" s="633"/>
      <c r="K141" s="633"/>
      <c r="L141" s="633"/>
      <c r="M141" s="633"/>
      <c r="N141" s="633"/>
      <c r="O141" s="633"/>
      <c r="P141" s="633"/>
      <c r="Q141" s="633"/>
      <c r="R141" s="633"/>
      <c r="S141" s="633"/>
      <c r="T141" s="633"/>
      <c r="U141" s="633"/>
      <c r="V141" s="633"/>
      <c r="W141" s="633"/>
      <c r="X141" s="633"/>
      <c r="Y141" s="633"/>
      <c r="Z141" s="633"/>
      <c r="AA141" s="633"/>
      <c r="AB141" s="633"/>
      <c r="AC141" s="634"/>
      <c r="AD141" s="613"/>
      <c r="AE141" s="613"/>
      <c r="AF141" s="114"/>
      <c r="AG141" s="114"/>
      <c r="AH141" s="114"/>
      <c r="AI141" s="114"/>
      <c r="AJ141" s="115"/>
      <c r="AK141" s="115"/>
      <c r="AL141" s="115"/>
      <c r="AM141" s="115"/>
      <c r="AN141" s="115"/>
      <c r="AO141" s="115"/>
      <c r="AP141" s="198"/>
      <c r="AQ141" s="198"/>
      <c r="AR141" s="198"/>
      <c r="AS141" s="198"/>
      <c r="AT141" s="198"/>
      <c r="AU141" s="198"/>
      <c r="AV141" s="198"/>
      <c r="AW141" s="198"/>
      <c r="AX141" s="198"/>
      <c r="AY141" s="198"/>
      <c r="AZ141" s="198"/>
      <c r="BA141" s="198"/>
      <c r="BB141" s="198"/>
      <c r="BC141" s="198"/>
    </row>
    <row r="142" spans="2:55" s="78" customFormat="1" x14ac:dyDescent="0.2">
      <c r="B142" s="363"/>
      <c r="C142" s="633"/>
      <c r="D142" s="633"/>
      <c r="E142" s="633"/>
      <c r="F142" s="633"/>
      <c r="G142" s="633"/>
      <c r="H142" s="633"/>
      <c r="I142" s="633"/>
      <c r="J142" s="633"/>
      <c r="K142" s="633"/>
      <c r="L142" s="633"/>
      <c r="M142" s="633"/>
      <c r="N142" s="633"/>
      <c r="O142" s="633"/>
      <c r="P142" s="633"/>
      <c r="Q142" s="633"/>
      <c r="R142" s="633"/>
      <c r="S142" s="633"/>
      <c r="T142" s="633"/>
      <c r="U142" s="633"/>
      <c r="V142" s="633"/>
      <c r="W142" s="633"/>
      <c r="X142" s="633"/>
      <c r="Y142" s="633"/>
      <c r="Z142" s="633"/>
      <c r="AA142" s="633"/>
      <c r="AB142" s="633"/>
      <c r="AC142" s="634"/>
      <c r="AD142" s="613"/>
      <c r="AE142" s="613"/>
      <c r="AF142" s="114"/>
      <c r="AG142" s="114"/>
      <c r="AH142" s="114"/>
      <c r="AI142" s="114"/>
      <c r="AJ142" s="115"/>
      <c r="AK142" s="115"/>
      <c r="AL142" s="115"/>
      <c r="AM142" s="115"/>
      <c r="AN142" s="115"/>
      <c r="AO142" s="115"/>
      <c r="AP142" s="198"/>
      <c r="AQ142" s="198"/>
      <c r="AR142" s="198"/>
      <c r="AS142" s="198"/>
      <c r="AT142" s="198"/>
      <c r="AU142" s="198"/>
      <c r="AV142" s="198"/>
      <c r="AW142" s="198"/>
      <c r="AX142" s="198"/>
      <c r="AY142" s="198"/>
      <c r="AZ142" s="198"/>
      <c r="BA142" s="198"/>
      <c r="BB142" s="198"/>
      <c r="BC142" s="198"/>
    </row>
    <row r="143" spans="2:55" s="78" customFormat="1" x14ac:dyDescent="0.2">
      <c r="B143" s="363"/>
      <c r="C143" s="633" t="s">
        <v>2519</v>
      </c>
      <c r="D143" s="633"/>
      <c r="E143" s="633"/>
      <c r="F143" s="633"/>
      <c r="G143" s="633">
        <v>12</v>
      </c>
      <c r="H143" s="633"/>
      <c r="I143" s="633"/>
      <c r="J143" s="633"/>
      <c r="K143" s="633"/>
      <c r="L143" s="633"/>
      <c r="M143" s="633"/>
      <c r="N143" s="633"/>
      <c r="O143" s="633"/>
      <c r="P143" s="638"/>
      <c r="Q143" s="633"/>
      <c r="R143" s="633"/>
      <c r="S143" s="633"/>
      <c r="T143" s="633"/>
      <c r="U143" s="633"/>
      <c r="V143" s="633"/>
      <c r="W143" s="633"/>
      <c r="X143" s="633"/>
      <c r="Y143" s="633"/>
      <c r="Z143" s="633"/>
      <c r="AA143" s="633"/>
      <c r="AB143" s="633"/>
      <c r="AC143" s="634"/>
      <c r="AD143" s="613"/>
      <c r="AE143" s="613"/>
      <c r="AF143" s="114"/>
      <c r="AG143" s="114"/>
      <c r="AH143" s="114"/>
      <c r="AI143" s="114"/>
      <c r="AJ143" s="115"/>
      <c r="AK143" s="115"/>
      <c r="AL143" s="115"/>
      <c r="AM143" s="115"/>
      <c r="AN143" s="115"/>
      <c r="AO143" s="115"/>
      <c r="AP143" s="198"/>
      <c r="AQ143" s="198"/>
      <c r="AR143" s="198"/>
      <c r="AS143" s="198"/>
      <c r="AT143" s="198"/>
      <c r="AU143" s="198"/>
      <c r="AV143" s="198"/>
      <c r="AW143" s="198"/>
      <c r="AX143" s="198"/>
      <c r="AY143" s="198"/>
      <c r="AZ143" s="198"/>
      <c r="BA143" s="198"/>
      <c r="BB143" s="198"/>
      <c r="BC143" s="198"/>
    </row>
    <row r="144" spans="2:55" s="78" customFormat="1" x14ac:dyDescent="0.2">
      <c r="B144" s="363"/>
      <c r="C144" s="633" t="s">
        <v>2535</v>
      </c>
      <c r="D144" s="633"/>
      <c r="E144" s="633"/>
      <c r="F144" s="633"/>
      <c r="G144" s="633">
        <v>24</v>
      </c>
      <c r="H144" s="633"/>
      <c r="I144" s="633"/>
      <c r="J144" s="633"/>
      <c r="K144" s="633"/>
      <c r="L144" s="633"/>
      <c r="M144" s="633"/>
      <c r="N144" s="633"/>
      <c r="O144" s="633"/>
      <c r="P144" s="633"/>
      <c r="Q144" s="633"/>
      <c r="R144" s="633"/>
      <c r="S144" s="633"/>
      <c r="T144" s="633"/>
      <c r="U144" s="633"/>
      <c r="V144" s="633"/>
      <c r="W144" s="633"/>
      <c r="X144" s="633"/>
      <c r="Y144" s="633"/>
      <c r="Z144" s="633"/>
      <c r="AA144" s="633"/>
      <c r="AB144" s="633"/>
      <c r="AC144" s="634"/>
      <c r="AD144" s="613"/>
      <c r="AE144" s="613"/>
      <c r="AF144" s="114"/>
      <c r="AG144" s="114"/>
      <c r="AH144" s="114"/>
      <c r="AI144" s="114"/>
      <c r="AJ144" s="115"/>
      <c r="AK144" s="115"/>
      <c r="AL144" s="115"/>
      <c r="AM144" s="115"/>
      <c r="AN144" s="115"/>
      <c r="AO144" s="115"/>
      <c r="AP144" s="198"/>
      <c r="AQ144" s="198"/>
      <c r="AR144" s="198"/>
      <c r="AS144" s="198"/>
      <c r="AT144" s="198"/>
      <c r="AU144" s="198"/>
      <c r="AV144" s="198"/>
      <c r="AW144" s="198"/>
      <c r="AX144" s="198"/>
      <c r="AY144" s="198"/>
      <c r="AZ144" s="198"/>
      <c r="BA144" s="198"/>
      <c r="BB144" s="198"/>
      <c r="BC144" s="198"/>
    </row>
    <row r="145" spans="2:55" s="78" customFormat="1" x14ac:dyDescent="0.2">
      <c r="B145" s="363"/>
      <c r="C145" s="633"/>
      <c r="D145" s="633"/>
      <c r="E145" s="633"/>
      <c r="F145" s="633"/>
      <c r="G145" s="633">
        <v>36</v>
      </c>
      <c r="H145" s="633"/>
      <c r="I145" s="633"/>
      <c r="J145" s="633"/>
      <c r="K145" s="633"/>
      <c r="L145" s="633"/>
      <c r="M145" s="633"/>
      <c r="N145" s="633"/>
      <c r="O145" s="633"/>
      <c r="P145" s="633"/>
      <c r="Q145" s="633"/>
      <c r="R145" s="633"/>
      <c r="S145" s="633"/>
      <c r="T145" s="633"/>
      <c r="U145" s="633"/>
      <c r="V145" s="633"/>
      <c r="W145" s="633"/>
      <c r="X145" s="633"/>
      <c r="Y145" s="633"/>
      <c r="Z145" s="633"/>
      <c r="AA145" s="633"/>
      <c r="AB145" s="633"/>
      <c r="AC145" s="634"/>
      <c r="AD145" s="613"/>
      <c r="AE145" s="613"/>
      <c r="AF145" s="114"/>
      <c r="AG145" s="114"/>
      <c r="AH145" s="114"/>
      <c r="AI145" s="114"/>
      <c r="AJ145" s="115"/>
      <c r="AK145" s="115"/>
      <c r="AL145" s="115"/>
      <c r="AM145" s="115"/>
      <c r="AN145" s="115"/>
      <c r="AO145" s="115"/>
      <c r="AP145" s="198"/>
      <c r="AQ145" s="198"/>
      <c r="AR145" s="198"/>
      <c r="AS145" s="198"/>
      <c r="AT145" s="198"/>
      <c r="AU145" s="198"/>
      <c r="AV145" s="198"/>
      <c r="AW145" s="198"/>
      <c r="AX145" s="198"/>
      <c r="AY145" s="198"/>
      <c r="AZ145" s="198"/>
      <c r="BA145" s="198"/>
      <c r="BB145" s="198"/>
      <c r="BC145" s="198"/>
    </row>
    <row r="146" spans="2:55" s="78" customFormat="1" x14ac:dyDescent="0.2">
      <c r="B146" s="363"/>
      <c r="C146" s="633"/>
      <c r="D146" s="633"/>
      <c r="E146" s="633"/>
      <c r="F146" s="633"/>
      <c r="G146" s="633"/>
      <c r="H146" s="633"/>
      <c r="I146" s="633"/>
      <c r="J146" s="633"/>
      <c r="K146" s="633"/>
      <c r="L146" s="633"/>
      <c r="M146" s="633"/>
      <c r="N146" s="633"/>
      <c r="O146" s="633"/>
      <c r="P146" s="633"/>
      <c r="Q146" s="639"/>
      <c r="R146" s="639"/>
      <c r="S146" s="639"/>
      <c r="T146" s="633"/>
      <c r="U146" s="633"/>
      <c r="V146" s="633"/>
      <c r="W146" s="633"/>
      <c r="X146" s="633"/>
      <c r="Y146" s="633"/>
      <c r="Z146" s="633"/>
      <c r="AA146" s="633"/>
      <c r="AB146" s="633"/>
      <c r="AC146" s="634"/>
      <c r="AD146" s="613"/>
      <c r="AE146" s="613"/>
      <c r="AF146" s="114"/>
      <c r="AG146" s="114"/>
      <c r="AH146" s="114"/>
      <c r="AI146" s="114"/>
      <c r="AJ146" s="115"/>
      <c r="AK146" s="115"/>
      <c r="AL146" s="115"/>
      <c r="AM146" s="115"/>
      <c r="AN146" s="115"/>
      <c r="AO146" s="115"/>
      <c r="AP146" s="198"/>
      <c r="AQ146" s="198"/>
      <c r="AR146" s="198"/>
      <c r="AS146" s="198"/>
      <c r="AT146" s="198"/>
      <c r="AU146" s="198"/>
      <c r="AV146" s="198"/>
      <c r="AW146" s="198"/>
      <c r="AX146" s="198"/>
      <c r="AY146" s="198"/>
      <c r="AZ146" s="198"/>
      <c r="BA146" s="198"/>
      <c r="BB146" s="198"/>
      <c r="BC146" s="198"/>
    </row>
    <row r="147" spans="2:55" s="78" customFormat="1" x14ac:dyDescent="0.2">
      <c r="B147" s="363"/>
      <c r="C147" s="633"/>
      <c r="D147" s="633"/>
      <c r="E147" s="633"/>
      <c r="F147" s="633"/>
      <c r="G147" s="633"/>
      <c r="H147" s="633"/>
      <c r="I147" s="633"/>
      <c r="J147" s="633"/>
      <c r="K147" s="633"/>
      <c r="L147" s="633"/>
      <c r="M147" s="633"/>
      <c r="N147" s="640"/>
      <c r="O147" s="640"/>
      <c r="P147" s="633"/>
      <c r="Q147" s="639"/>
      <c r="R147" s="639"/>
      <c r="S147" s="639"/>
      <c r="T147" s="633"/>
      <c r="U147" s="633"/>
      <c r="V147" s="633"/>
      <c r="W147" s="633"/>
      <c r="X147" s="633"/>
      <c r="Y147" s="633"/>
      <c r="Z147" s="633"/>
      <c r="AA147" s="633"/>
      <c r="AB147" s="633"/>
      <c r="AC147" s="633"/>
      <c r="AD147" s="613"/>
      <c r="AE147" s="613"/>
      <c r="AF147" s="114"/>
      <c r="AG147" s="114"/>
      <c r="AH147" s="114"/>
      <c r="AI147" s="114"/>
      <c r="AJ147" s="115"/>
      <c r="AK147" s="115"/>
      <c r="AL147" s="115"/>
      <c r="AM147" s="115"/>
      <c r="AN147" s="115"/>
      <c r="AO147" s="115"/>
      <c r="AP147" s="198"/>
      <c r="AQ147" s="198"/>
      <c r="AR147" s="198"/>
      <c r="AS147" s="198"/>
      <c r="AT147" s="198"/>
      <c r="AU147" s="198"/>
      <c r="AV147" s="198"/>
      <c r="AW147" s="198"/>
      <c r="AX147" s="198"/>
      <c r="AY147" s="198"/>
      <c r="AZ147" s="198"/>
      <c r="BA147" s="198"/>
      <c r="BB147" s="198"/>
      <c r="BC147" s="198"/>
    </row>
    <row r="148" spans="2:55" s="78" customFormat="1" x14ac:dyDescent="0.2">
      <c r="B148" s="363"/>
      <c r="C148" s="633"/>
      <c r="D148" s="633"/>
      <c r="E148" s="633"/>
      <c r="F148" s="633"/>
      <c r="G148" s="633"/>
      <c r="H148" s="633"/>
      <c r="I148" s="633"/>
      <c r="J148" s="633"/>
      <c r="K148" s="633"/>
      <c r="L148" s="633"/>
      <c r="M148" s="633"/>
      <c r="N148" s="633"/>
      <c r="O148" s="633"/>
      <c r="P148" s="633"/>
      <c r="Q148" s="633"/>
      <c r="R148" s="633"/>
      <c r="S148" s="633"/>
      <c r="T148" s="633"/>
      <c r="U148" s="633"/>
      <c r="V148" s="633"/>
      <c r="W148" s="633"/>
      <c r="X148" s="633"/>
      <c r="Y148" s="633"/>
      <c r="Z148" s="633"/>
      <c r="AA148" s="633"/>
      <c r="AB148" s="633"/>
      <c r="AC148" s="633"/>
      <c r="AD148" s="613"/>
      <c r="AE148" s="613"/>
      <c r="AF148" s="114"/>
      <c r="AG148" s="114"/>
      <c r="AH148" s="114"/>
      <c r="AI148" s="114"/>
      <c r="AJ148" s="115"/>
      <c r="AK148" s="115"/>
      <c r="AL148" s="115"/>
      <c r="AM148" s="115"/>
      <c r="AN148" s="115"/>
      <c r="AO148" s="115"/>
      <c r="AP148" s="198"/>
      <c r="AQ148" s="198"/>
      <c r="AR148" s="198"/>
      <c r="AS148" s="198"/>
      <c r="AT148" s="198"/>
      <c r="AU148" s="198"/>
      <c r="AV148" s="198"/>
      <c r="AW148" s="198"/>
      <c r="AX148" s="198"/>
      <c r="AY148" s="198"/>
      <c r="AZ148" s="198"/>
      <c r="BA148" s="198"/>
      <c r="BB148" s="198"/>
      <c r="BC148" s="198"/>
    </row>
    <row r="149" spans="2:55" s="78" customFormat="1" x14ac:dyDescent="0.2">
      <c r="B149" s="363"/>
      <c r="C149" s="633"/>
      <c r="D149" s="633"/>
      <c r="E149" s="633"/>
      <c r="F149" s="633"/>
      <c r="G149" s="633"/>
      <c r="H149" s="633"/>
      <c r="I149" s="633"/>
      <c r="J149" s="633"/>
      <c r="K149" s="633"/>
      <c r="L149" s="633"/>
      <c r="M149" s="633"/>
      <c r="N149" s="633"/>
      <c r="O149" s="633"/>
      <c r="P149" s="633"/>
      <c r="Q149" s="633"/>
      <c r="R149" s="633"/>
      <c r="S149" s="633"/>
      <c r="T149" s="633"/>
      <c r="U149" s="633"/>
      <c r="V149" s="633"/>
      <c r="W149" s="633"/>
      <c r="X149" s="633"/>
      <c r="Y149" s="633"/>
      <c r="Z149" s="633"/>
      <c r="AA149" s="633"/>
      <c r="AB149" s="633"/>
      <c r="AC149" s="633"/>
      <c r="AD149" s="613"/>
      <c r="AE149" s="613"/>
      <c r="AF149" s="114"/>
      <c r="AG149" s="114"/>
      <c r="AH149" s="114"/>
      <c r="AI149" s="114"/>
      <c r="AJ149" s="115"/>
      <c r="AK149" s="115"/>
      <c r="AL149" s="115"/>
      <c r="AM149" s="115"/>
      <c r="AN149" s="115"/>
      <c r="AO149" s="115"/>
      <c r="AP149" s="198"/>
      <c r="AQ149" s="198"/>
      <c r="AR149" s="198"/>
      <c r="AS149" s="198"/>
      <c r="AT149" s="198"/>
      <c r="AU149" s="198"/>
      <c r="AV149" s="198"/>
      <c r="AW149" s="198"/>
      <c r="AX149" s="198"/>
      <c r="AY149" s="198"/>
      <c r="AZ149" s="198"/>
      <c r="BA149" s="198"/>
      <c r="BB149" s="198"/>
      <c r="BC149" s="198"/>
    </row>
    <row r="150" spans="2:55" s="78" customFormat="1" x14ac:dyDescent="0.2">
      <c r="B150" s="363"/>
      <c r="C150" s="633"/>
      <c r="D150" s="633"/>
      <c r="E150" s="633"/>
      <c r="F150" s="633"/>
      <c r="G150" s="633"/>
      <c r="H150" s="633"/>
      <c r="I150" s="633"/>
      <c r="J150" s="633"/>
      <c r="K150" s="633"/>
      <c r="L150" s="633"/>
      <c r="M150" s="633"/>
      <c r="N150" s="633"/>
      <c r="O150" s="633"/>
      <c r="P150" s="633"/>
      <c r="Q150" s="633"/>
      <c r="R150" s="633"/>
      <c r="S150" s="633"/>
      <c r="T150" s="633"/>
      <c r="U150" s="633"/>
      <c r="V150" s="633"/>
      <c r="W150" s="633"/>
      <c r="X150" s="633"/>
      <c r="Y150" s="633"/>
      <c r="Z150" s="633"/>
      <c r="AA150" s="633"/>
      <c r="AB150" s="633"/>
      <c r="AC150" s="633"/>
      <c r="AD150" s="613"/>
      <c r="AE150" s="613"/>
      <c r="AF150" s="114"/>
      <c r="AG150" s="114"/>
      <c r="AH150" s="114"/>
      <c r="AI150" s="114"/>
      <c r="AJ150" s="115"/>
      <c r="AK150" s="115"/>
      <c r="AL150" s="115"/>
      <c r="AM150" s="115"/>
      <c r="AN150" s="115"/>
      <c r="AO150" s="115"/>
      <c r="AP150" s="198"/>
      <c r="AQ150" s="198"/>
      <c r="AR150" s="198"/>
      <c r="AS150" s="198"/>
      <c r="AT150" s="198"/>
      <c r="AU150" s="198"/>
      <c r="AV150" s="198"/>
      <c r="AW150" s="198"/>
      <c r="AX150" s="198"/>
      <c r="AY150" s="198"/>
      <c r="AZ150" s="198"/>
      <c r="BA150" s="198"/>
      <c r="BB150" s="198"/>
      <c r="BC150" s="198"/>
    </row>
    <row r="151" spans="2:55" s="78" customFormat="1" x14ac:dyDescent="0.2">
      <c r="B151" s="363"/>
      <c r="C151" s="633"/>
      <c r="D151" s="633"/>
      <c r="E151" s="633"/>
      <c r="F151" s="633"/>
      <c r="G151" s="633"/>
      <c r="H151" s="633"/>
      <c r="I151" s="633"/>
      <c r="J151" s="633"/>
      <c r="K151" s="633"/>
      <c r="L151" s="633"/>
      <c r="M151" s="633"/>
      <c r="N151" s="633"/>
      <c r="O151" s="633"/>
      <c r="P151" s="633"/>
      <c r="Q151" s="633"/>
      <c r="R151" s="633"/>
      <c r="S151" s="633"/>
      <c r="T151" s="633"/>
      <c r="U151" s="633"/>
      <c r="V151" s="633"/>
      <c r="W151" s="633"/>
      <c r="X151" s="633"/>
      <c r="Y151" s="633"/>
      <c r="Z151" s="633"/>
      <c r="AA151" s="633"/>
      <c r="AB151" s="633"/>
      <c r="AC151" s="633"/>
      <c r="AD151" s="613"/>
      <c r="AE151" s="613"/>
      <c r="AF151" s="114"/>
      <c r="AG151" s="114"/>
      <c r="AH151" s="114"/>
      <c r="AI151" s="114"/>
      <c r="AJ151" s="115"/>
      <c r="AK151" s="115"/>
      <c r="AL151" s="115"/>
      <c r="AM151" s="115"/>
      <c r="AN151" s="115"/>
      <c r="AO151" s="115"/>
      <c r="AP151" s="115"/>
      <c r="AQ151" s="115"/>
      <c r="AR151" s="115"/>
      <c r="AS151" s="115"/>
      <c r="AT151" s="115"/>
      <c r="AU151" s="115"/>
      <c r="AV151" s="115"/>
      <c r="AW151" s="198"/>
      <c r="AX151" s="198"/>
      <c r="AY151" s="198"/>
      <c r="AZ151" s="198"/>
      <c r="BA151" s="198"/>
      <c r="BB151" s="198"/>
      <c r="BC151" s="198"/>
    </row>
    <row r="152" spans="2:55" s="78" customFormat="1" x14ac:dyDescent="0.2">
      <c r="B152" s="363"/>
      <c r="C152" s="633"/>
      <c r="D152" s="633"/>
      <c r="E152" s="633"/>
      <c r="F152" s="633"/>
      <c r="G152" s="633"/>
      <c r="H152" s="633"/>
      <c r="I152" s="633"/>
      <c r="J152" s="633"/>
      <c r="K152" s="633"/>
      <c r="L152" s="633"/>
      <c r="M152" s="633"/>
      <c r="N152" s="633"/>
      <c r="O152" s="633"/>
      <c r="P152" s="633"/>
      <c r="Q152" s="633"/>
      <c r="R152" s="633"/>
      <c r="S152" s="633"/>
      <c r="T152" s="633"/>
      <c r="U152" s="633"/>
      <c r="V152" s="633"/>
      <c r="W152" s="633"/>
      <c r="X152" s="633"/>
      <c r="Y152" s="633"/>
      <c r="Z152" s="633"/>
      <c r="AA152" s="633"/>
      <c r="AB152" s="633"/>
      <c r="AC152" s="633"/>
      <c r="AD152" s="613"/>
      <c r="AE152" s="613"/>
      <c r="AF152" s="114"/>
      <c r="AG152" s="114"/>
      <c r="AH152" s="114"/>
      <c r="AI152" s="114"/>
      <c r="AJ152" s="115"/>
      <c r="AK152" s="115"/>
      <c r="AL152" s="115"/>
      <c r="AM152" s="115"/>
      <c r="AN152" s="115"/>
      <c r="AO152" s="115"/>
      <c r="AP152" s="115"/>
      <c r="AQ152" s="115"/>
      <c r="AR152" s="115"/>
      <c r="AS152" s="115"/>
      <c r="AT152" s="115"/>
      <c r="AU152" s="115"/>
      <c r="AV152" s="115"/>
      <c r="AW152" s="198"/>
      <c r="AX152" s="198"/>
      <c r="AY152" s="198"/>
      <c r="AZ152" s="198"/>
      <c r="BA152" s="198"/>
      <c r="BB152" s="198"/>
      <c r="BC152" s="198"/>
    </row>
    <row r="153" spans="2:55" s="78" customFormat="1" x14ac:dyDescent="0.2">
      <c r="B153" s="363"/>
      <c r="C153" s="633"/>
      <c r="D153" s="633"/>
      <c r="E153" s="633"/>
      <c r="F153" s="633"/>
      <c r="G153" s="633"/>
      <c r="H153" s="633"/>
      <c r="I153" s="633"/>
      <c r="J153" s="633"/>
      <c r="K153" s="633"/>
      <c r="L153" s="633"/>
      <c r="M153" s="633"/>
      <c r="N153" s="633"/>
      <c r="O153" s="633"/>
      <c r="P153" s="633"/>
      <c r="Q153" s="633"/>
      <c r="R153" s="633"/>
      <c r="S153" s="633"/>
      <c r="T153" s="633"/>
      <c r="U153" s="633"/>
      <c r="V153" s="633"/>
      <c r="W153" s="633"/>
      <c r="X153" s="633"/>
      <c r="Y153" s="633"/>
      <c r="Z153" s="633"/>
      <c r="AA153" s="633"/>
      <c r="AB153" s="633"/>
      <c r="AC153" s="633"/>
      <c r="AD153" s="613"/>
      <c r="AE153" s="613"/>
      <c r="AF153" s="114"/>
      <c r="AG153" s="114"/>
      <c r="AH153" s="114"/>
      <c r="AI153" s="114"/>
      <c r="AJ153" s="115"/>
      <c r="AK153" s="115"/>
      <c r="AL153" s="115"/>
      <c r="AM153" s="115"/>
      <c r="AN153" s="115"/>
      <c r="AO153" s="115"/>
      <c r="AP153" s="115"/>
      <c r="AQ153" s="115"/>
      <c r="AR153" s="115"/>
      <c r="AS153" s="115"/>
      <c r="AT153" s="115"/>
      <c r="AU153" s="115"/>
      <c r="AV153" s="115"/>
      <c r="AW153" s="198"/>
      <c r="AX153" s="198"/>
      <c r="AY153" s="198"/>
      <c r="AZ153" s="198"/>
      <c r="BA153" s="198"/>
      <c r="BB153" s="198"/>
      <c r="BC153" s="198"/>
    </row>
    <row r="154" spans="2:55" s="78" customFormat="1" x14ac:dyDescent="0.2">
      <c r="B154" s="363"/>
      <c r="C154" s="633"/>
      <c r="D154" s="633"/>
      <c r="E154" s="633"/>
      <c r="F154" s="633"/>
      <c r="G154" s="633"/>
      <c r="H154" s="633"/>
      <c r="I154" s="633"/>
      <c r="J154" s="633"/>
      <c r="K154" s="633"/>
      <c r="L154" s="633"/>
      <c r="M154" s="633"/>
      <c r="N154" s="633"/>
      <c r="O154" s="633"/>
      <c r="P154" s="633"/>
      <c r="Q154" s="633"/>
      <c r="R154" s="633"/>
      <c r="S154" s="633"/>
      <c r="T154" s="633"/>
      <c r="U154" s="633"/>
      <c r="V154" s="633"/>
      <c r="W154" s="633"/>
      <c r="X154" s="633"/>
      <c r="Y154" s="633"/>
      <c r="Z154" s="633"/>
      <c r="AA154" s="633"/>
      <c r="AB154" s="633"/>
      <c r="AC154" s="633"/>
      <c r="AD154" s="613"/>
      <c r="AE154" s="613"/>
      <c r="AF154" s="114"/>
      <c r="AG154" s="114"/>
      <c r="AH154" s="114"/>
      <c r="AI154" s="114"/>
      <c r="AJ154" s="115"/>
      <c r="AK154" s="115"/>
      <c r="AL154" s="115"/>
      <c r="AM154" s="115"/>
      <c r="AN154" s="115"/>
      <c r="AO154" s="115"/>
      <c r="AP154" s="115"/>
      <c r="AQ154" s="115"/>
      <c r="AR154" s="115"/>
      <c r="AS154" s="115"/>
      <c r="AT154" s="115"/>
      <c r="AU154" s="115"/>
      <c r="AV154" s="115"/>
      <c r="AW154" s="198"/>
      <c r="AX154" s="198"/>
      <c r="AY154" s="198"/>
      <c r="AZ154" s="198"/>
      <c r="BA154" s="198"/>
      <c r="BB154" s="198"/>
      <c r="BC154" s="198"/>
    </row>
    <row r="155" spans="2:55" s="78" customFormat="1" x14ac:dyDescent="0.2">
      <c r="B155" s="363"/>
      <c r="C155" s="633"/>
      <c r="D155" s="633"/>
      <c r="E155" s="633"/>
      <c r="F155" s="633"/>
      <c r="G155" s="633"/>
      <c r="H155" s="633"/>
      <c r="I155" s="633"/>
      <c r="J155" s="633"/>
      <c r="K155" s="633"/>
      <c r="L155" s="633"/>
      <c r="M155" s="633"/>
      <c r="N155" s="633"/>
      <c r="O155" s="633"/>
      <c r="P155" s="633"/>
      <c r="Q155" s="633"/>
      <c r="R155" s="633"/>
      <c r="S155" s="633"/>
      <c r="T155" s="633"/>
      <c r="U155" s="633"/>
      <c r="V155" s="633"/>
      <c r="W155" s="633"/>
      <c r="X155" s="633"/>
      <c r="Y155" s="633"/>
      <c r="Z155" s="633"/>
      <c r="AA155" s="633"/>
      <c r="AB155" s="633"/>
      <c r="AC155" s="633"/>
      <c r="AD155" s="613"/>
      <c r="AE155" s="613"/>
      <c r="AF155" s="114"/>
      <c r="AG155" s="114"/>
      <c r="AH155" s="114"/>
      <c r="AI155" s="114"/>
      <c r="AJ155" s="115"/>
      <c r="AK155" s="115"/>
      <c r="AL155" s="115"/>
      <c r="AM155" s="115"/>
      <c r="AN155" s="115"/>
      <c r="AO155" s="115"/>
      <c r="AP155" s="115"/>
      <c r="AQ155" s="115"/>
      <c r="AR155" s="115"/>
      <c r="AS155" s="115"/>
      <c r="AT155" s="115"/>
      <c r="AU155" s="115"/>
      <c r="AV155" s="115"/>
      <c r="AW155" s="198"/>
      <c r="AX155" s="198"/>
      <c r="AY155" s="198"/>
      <c r="AZ155" s="198"/>
      <c r="BA155" s="198"/>
      <c r="BB155" s="198"/>
      <c r="BC155" s="198"/>
    </row>
    <row r="156" spans="2:55" s="78" customFormat="1" x14ac:dyDescent="0.2">
      <c r="B156" s="363"/>
      <c r="C156" s="633"/>
      <c r="D156" s="633"/>
      <c r="E156" s="633"/>
      <c r="F156" s="633"/>
      <c r="G156" s="633"/>
      <c r="H156" s="633"/>
      <c r="I156" s="633"/>
      <c r="J156" s="633"/>
      <c r="K156" s="633"/>
      <c r="L156" s="633"/>
      <c r="M156" s="633"/>
      <c r="N156" s="633"/>
      <c r="O156" s="633"/>
      <c r="P156" s="633"/>
      <c r="Q156" s="633"/>
      <c r="R156" s="633"/>
      <c r="S156" s="633"/>
      <c r="T156" s="633"/>
      <c r="U156" s="633"/>
      <c r="V156" s="633"/>
      <c r="W156" s="633"/>
      <c r="X156" s="633"/>
      <c r="Y156" s="633"/>
      <c r="Z156" s="633"/>
      <c r="AA156" s="633"/>
      <c r="AB156" s="633"/>
      <c r="AC156" s="633"/>
      <c r="AD156" s="613"/>
      <c r="AE156" s="613"/>
      <c r="AF156" s="114"/>
      <c r="AG156" s="114"/>
      <c r="AH156" s="114"/>
      <c r="AI156" s="114"/>
      <c r="AJ156" s="115"/>
      <c r="AK156" s="115"/>
      <c r="AL156" s="115"/>
      <c r="AM156" s="115"/>
      <c r="AN156" s="115"/>
      <c r="AO156" s="115"/>
      <c r="AP156" s="115"/>
      <c r="AQ156" s="115"/>
      <c r="AR156" s="115"/>
      <c r="AS156" s="115"/>
      <c r="AT156" s="115"/>
      <c r="AU156" s="115"/>
      <c r="AV156" s="115"/>
      <c r="AW156" s="198"/>
      <c r="AX156" s="198"/>
      <c r="AY156" s="198"/>
      <c r="AZ156" s="198"/>
      <c r="BA156" s="198"/>
      <c r="BB156" s="198"/>
      <c r="BC156" s="198"/>
    </row>
    <row r="157" spans="2:55" s="78" customFormat="1" x14ac:dyDescent="0.2">
      <c r="B157" s="363"/>
      <c r="C157" s="633"/>
      <c r="D157" s="633"/>
      <c r="E157" s="633"/>
      <c r="F157" s="633"/>
      <c r="G157" s="633"/>
      <c r="H157" s="633"/>
      <c r="I157" s="633"/>
      <c r="J157" s="633"/>
      <c r="K157" s="633"/>
      <c r="L157" s="633"/>
      <c r="M157" s="633"/>
      <c r="N157" s="633"/>
      <c r="O157" s="633"/>
      <c r="P157" s="633"/>
      <c r="Q157" s="633"/>
      <c r="R157" s="633"/>
      <c r="S157" s="633"/>
      <c r="T157" s="633"/>
      <c r="U157" s="633"/>
      <c r="V157" s="633"/>
      <c r="W157" s="633"/>
      <c r="X157" s="633"/>
      <c r="Y157" s="633"/>
      <c r="Z157" s="633"/>
      <c r="AA157" s="633"/>
      <c r="AB157" s="633"/>
      <c r="AC157" s="633"/>
      <c r="AD157" s="613"/>
      <c r="AE157" s="613"/>
      <c r="AF157" s="114"/>
      <c r="AG157" s="114"/>
      <c r="AH157" s="114"/>
      <c r="AI157" s="114"/>
      <c r="AJ157" s="115"/>
      <c r="AK157" s="115"/>
      <c r="AL157" s="115"/>
      <c r="AM157" s="115"/>
      <c r="AN157" s="115"/>
      <c r="AO157" s="115"/>
      <c r="AP157" s="115"/>
      <c r="AQ157" s="115"/>
      <c r="AR157" s="115"/>
      <c r="AS157" s="115"/>
      <c r="AT157" s="115"/>
      <c r="AU157" s="115"/>
      <c r="AV157" s="115"/>
      <c r="AW157" s="198"/>
      <c r="AX157" s="198"/>
      <c r="AY157" s="198"/>
      <c r="AZ157" s="198"/>
      <c r="BA157" s="198"/>
      <c r="BB157" s="198"/>
      <c r="BC157" s="198"/>
    </row>
    <row r="158" spans="2:55" s="78" customFormat="1" x14ac:dyDescent="0.2">
      <c r="B158" s="363"/>
      <c r="C158" s="633"/>
      <c r="D158" s="633"/>
      <c r="E158" s="633"/>
      <c r="F158" s="633"/>
      <c r="G158" s="633"/>
      <c r="H158" s="633"/>
      <c r="I158" s="633"/>
      <c r="J158" s="633"/>
      <c r="K158" s="633"/>
      <c r="L158" s="633"/>
      <c r="M158" s="633"/>
      <c r="N158" s="633"/>
      <c r="O158" s="633"/>
      <c r="P158" s="633"/>
      <c r="Q158" s="633"/>
      <c r="R158" s="633"/>
      <c r="S158" s="633"/>
      <c r="T158" s="633"/>
      <c r="U158" s="633"/>
      <c r="V158" s="633"/>
      <c r="W158" s="633"/>
      <c r="X158" s="633"/>
      <c r="Y158" s="633"/>
      <c r="Z158" s="633"/>
      <c r="AA158" s="633"/>
      <c r="AB158" s="633"/>
      <c r="AC158" s="633"/>
      <c r="AD158" s="613"/>
      <c r="AE158" s="613"/>
      <c r="AF158" s="114"/>
      <c r="AG158" s="114"/>
      <c r="AH158" s="114"/>
      <c r="AI158" s="114"/>
      <c r="AJ158" s="115"/>
      <c r="AK158" s="115"/>
      <c r="AL158" s="115"/>
      <c r="AM158" s="115"/>
      <c r="AN158" s="115"/>
      <c r="AO158" s="115"/>
      <c r="AP158" s="115"/>
      <c r="AQ158" s="115"/>
      <c r="AR158" s="115"/>
      <c r="AS158" s="115"/>
      <c r="AT158" s="115"/>
      <c r="AU158" s="115"/>
      <c r="AV158" s="115"/>
      <c r="AW158" s="198"/>
      <c r="AX158" s="198"/>
      <c r="AY158" s="198"/>
      <c r="AZ158" s="198"/>
      <c r="BA158" s="198"/>
      <c r="BB158" s="198"/>
      <c r="BC158" s="198"/>
    </row>
    <row r="159" spans="2:55" s="78" customFormat="1" x14ac:dyDescent="0.2">
      <c r="B159" s="363"/>
      <c r="C159" s="633"/>
      <c r="D159" s="633"/>
      <c r="E159" s="633"/>
      <c r="F159" s="633"/>
      <c r="G159" s="633"/>
      <c r="H159" s="633"/>
      <c r="I159" s="633"/>
      <c r="J159" s="633"/>
      <c r="K159" s="633"/>
      <c r="L159" s="633"/>
      <c r="M159" s="633"/>
      <c r="N159" s="633"/>
      <c r="O159" s="633"/>
      <c r="P159" s="633"/>
      <c r="Q159" s="633"/>
      <c r="R159" s="633"/>
      <c r="S159" s="633"/>
      <c r="T159" s="633"/>
      <c r="U159" s="633"/>
      <c r="V159" s="633"/>
      <c r="W159" s="633"/>
      <c r="X159" s="633"/>
      <c r="Y159" s="633"/>
      <c r="Z159" s="633"/>
      <c r="AA159" s="633"/>
      <c r="AB159" s="633"/>
      <c r="AC159" s="633"/>
      <c r="AD159" s="613"/>
      <c r="AE159" s="613"/>
      <c r="AF159" s="114"/>
      <c r="AG159" s="114"/>
      <c r="AH159" s="114"/>
      <c r="AI159" s="114"/>
      <c r="AJ159" s="115"/>
      <c r="AK159" s="115"/>
      <c r="AL159" s="115"/>
      <c r="AM159" s="115"/>
      <c r="AN159" s="115"/>
      <c r="AO159" s="115"/>
      <c r="AP159" s="115"/>
      <c r="AQ159" s="115"/>
      <c r="AR159" s="115"/>
      <c r="AS159" s="115"/>
      <c r="AT159" s="115"/>
      <c r="AU159" s="115"/>
      <c r="AV159" s="115"/>
      <c r="AW159" s="198"/>
      <c r="AX159" s="198"/>
      <c r="AY159" s="198"/>
      <c r="AZ159" s="198"/>
      <c r="BA159" s="198"/>
      <c r="BB159" s="198"/>
      <c r="BC159" s="198"/>
    </row>
    <row r="160" spans="2:55" s="78" customFormat="1" x14ac:dyDescent="0.2">
      <c r="B160" s="114"/>
      <c r="C160" s="633"/>
      <c r="D160" s="633"/>
      <c r="E160" s="633"/>
      <c r="F160" s="633"/>
      <c r="G160" s="633"/>
      <c r="H160" s="633"/>
      <c r="I160" s="633"/>
      <c r="J160" s="633"/>
      <c r="K160" s="633"/>
      <c r="L160" s="633"/>
      <c r="M160" s="633"/>
      <c r="N160" s="633"/>
      <c r="O160" s="633"/>
      <c r="P160" s="633"/>
      <c r="Q160" s="633"/>
      <c r="R160" s="633"/>
      <c r="S160" s="633"/>
      <c r="T160" s="633"/>
      <c r="U160" s="633"/>
      <c r="V160" s="633"/>
      <c r="W160" s="633"/>
      <c r="X160" s="633"/>
      <c r="Y160" s="633"/>
      <c r="Z160" s="633"/>
      <c r="AA160" s="633"/>
      <c r="AB160" s="633"/>
      <c r="AC160" s="633"/>
      <c r="AD160" s="613"/>
      <c r="AE160" s="613"/>
      <c r="AF160" s="114"/>
      <c r="AG160" s="114"/>
      <c r="AH160" s="114"/>
      <c r="AI160" s="114"/>
      <c r="AJ160" s="115"/>
      <c r="AK160" s="115"/>
      <c r="AL160" s="115"/>
      <c r="AM160" s="115"/>
      <c r="AN160" s="115"/>
      <c r="AO160" s="115"/>
      <c r="AP160" s="115"/>
      <c r="AQ160" s="115"/>
      <c r="AR160" s="115"/>
      <c r="AS160" s="115"/>
      <c r="AT160" s="115"/>
      <c r="AU160" s="115"/>
      <c r="AV160" s="115"/>
      <c r="AW160" s="198"/>
      <c r="AX160" s="198"/>
      <c r="AY160" s="198"/>
      <c r="AZ160" s="198"/>
      <c r="BA160" s="198"/>
      <c r="BB160" s="198"/>
      <c r="BC160" s="198"/>
    </row>
    <row r="161" spans="1:55" s="78" customFormat="1" x14ac:dyDescent="0.2">
      <c r="B161" s="114"/>
      <c r="C161" s="633"/>
      <c r="D161" s="633"/>
      <c r="E161" s="633"/>
      <c r="F161" s="633"/>
      <c r="G161" s="633"/>
      <c r="H161" s="633"/>
      <c r="I161" s="633"/>
      <c r="J161" s="633"/>
      <c r="K161" s="633"/>
      <c r="L161" s="633"/>
      <c r="M161" s="633"/>
      <c r="N161" s="633"/>
      <c r="O161" s="633"/>
      <c r="P161" s="633"/>
      <c r="Q161" s="633"/>
      <c r="R161" s="633"/>
      <c r="S161" s="633"/>
      <c r="T161" s="633"/>
      <c r="U161" s="633"/>
      <c r="V161" s="633"/>
      <c r="W161" s="633"/>
      <c r="X161" s="633"/>
      <c r="Y161" s="633"/>
      <c r="Z161" s="633"/>
      <c r="AA161" s="633"/>
      <c r="AB161" s="633"/>
      <c r="AC161" s="633"/>
      <c r="AD161" s="613"/>
      <c r="AE161" s="613"/>
      <c r="AF161" s="114"/>
      <c r="AG161" s="114"/>
      <c r="AH161" s="114"/>
      <c r="AI161" s="114"/>
      <c r="AJ161" s="115"/>
      <c r="AK161" s="115"/>
      <c r="AL161" s="115"/>
      <c r="AM161" s="115"/>
      <c r="AN161" s="115"/>
      <c r="AO161" s="115"/>
      <c r="AP161" s="115"/>
      <c r="AQ161" s="115"/>
      <c r="AR161" s="115"/>
      <c r="AS161" s="115"/>
      <c r="AT161" s="115"/>
      <c r="AU161" s="115"/>
      <c r="AV161" s="115"/>
      <c r="AW161" s="198"/>
      <c r="AX161" s="198"/>
      <c r="AY161" s="198"/>
      <c r="AZ161" s="198"/>
      <c r="BA161" s="198"/>
      <c r="BB161" s="198"/>
      <c r="BC161" s="198"/>
    </row>
    <row r="162" spans="1:55" s="78" customFormat="1" x14ac:dyDescent="0.2">
      <c r="A162" s="79"/>
      <c r="B162" s="114"/>
      <c r="C162" s="633"/>
      <c r="D162" s="633"/>
      <c r="E162" s="633"/>
      <c r="F162" s="633"/>
      <c r="G162" s="633"/>
      <c r="H162" s="633"/>
      <c r="I162" s="633"/>
      <c r="J162" s="633"/>
      <c r="K162" s="633"/>
      <c r="L162" s="633"/>
      <c r="M162" s="633"/>
      <c r="N162" s="633"/>
      <c r="O162" s="633"/>
      <c r="P162" s="633"/>
      <c r="Q162" s="633"/>
      <c r="R162" s="633"/>
      <c r="S162" s="633"/>
      <c r="T162" s="633"/>
      <c r="U162" s="633"/>
      <c r="V162" s="633"/>
      <c r="W162" s="633"/>
      <c r="X162" s="633"/>
      <c r="Y162" s="633"/>
      <c r="Z162" s="633"/>
      <c r="AA162" s="633"/>
      <c r="AB162" s="633"/>
      <c r="AC162" s="633"/>
      <c r="AD162" s="613"/>
      <c r="AE162" s="613"/>
      <c r="AF162" s="114"/>
      <c r="AG162" s="114"/>
      <c r="AH162" s="114"/>
      <c r="AI162" s="114"/>
      <c r="AJ162" s="115"/>
      <c r="AK162" s="115"/>
      <c r="AL162" s="115"/>
      <c r="AM162" s="115"/>
      <c r="AN162" s="115"/>
      <c r="AO162" s="115"/>
      <c r="AP162" s="115"/>
      <c r="AQ162" s="115"/>
      <c r="AR162" s="115"/>
      <c r="AS162" s="115"/>
      <c r="AT162" s="115"/>
      <c r="AU162" s="115"/>
      <c r="AV162" s="115"/>
      <c r="AW162" s="198"/>
      <c r="AX162" s="198"/>
      <c r="AY162" s="198"/>
      <c r="AZ162" s="198"/>
      <c r="BA162" s="198"/>
      <c r="BB162" s="198"/>
      <c r="BC162" s="198"/>
    </row>
    <row r="163" spans="1:55" s="78" customFormat="1" x14ac:dyDescent="0.2">
      <c r="A163" s="79"/>
      <c r="B163" s="114"/>
      <c r="C163" s="633"/>
      <c r="D163" s="633"/>
      <c r="E163" s="633"/>
      <c r="F163" s="633"/>
      <c r="G163" s="633"/>
      <c r="H163" s="633"/>
      <c r="I163" s="633"/>
      <c r="J163" s="633"/>
      <c r="K163" s="633"/>
      <c r="L163" s="633"/>
      <c r="M163" s="633"/>
      <c r="N163" s="633"/>
      <c r="O163" s="633"/>
      <c r="P163" s="633"/>
      <c r="Q163" s="633"/>
      <c r="R163" s="633"/>
      <c r="S163" s="633"/>
      <c r="T163" s="633"/>
      <c r="U163" s="633"/>
      <c r="V163" s="633"/>
      <c r="W163" s="633"/>
      <c r="X163" s="633"/>
      <c r="Y163" s="633"/>
      <c r="Z163" s="633"/>
      <c r="AA163" s="633"/>
      <c r="AB163" s="641"/>
      <c r="AC163" s="633"/>
      <c r="AD163" s="613"/>
      <c r="AE163" s="613"/>
      <c r="AF163" s="114"/>
      <c r="AG163" s="114"/>
      <c r="AH163" s="114"/>
      <c r="AI163" s="114"/>
      <c r="AJ163" s="115"/>
      <c r="AK163" s="115"/>
      <c r="AL163" s="115"/>
      <c r="AM163" s="115"/>
      <c r="AN163" s="115"/>
      <c r="AO163" s="115"/>
      <c r="AP163" s="115"/>
      <c r="AQ163" s="115"/>
      <c r="AR163" s="115"/>
      <c r="AS163" s="115"/>
      <c r="AT163" s="115"/>
      <c r="AU163" s="115"/>
      <c r="AV163" s="115"/>
      <c r="AW163" s="198"/>
      <c r="AX163" s="198"/>
      <c r="AY163" s="198"/>
      <c r="AZ163" s="198"/>
      <c r="BA163" s="198"/>
      <c r="BB163" s="198"/>
      <c r="BC163" s="198"/>
    </row>
    <row r="164" spans="1:55" s="78" customFormat="1" x14ac:dyDescent="0.2">
      <c r="A164" s="79"/>
      <c r="B164" s="114"/>
      <c r="C164" s="633"/>
      <c r="D164" s="633"/>
      <c r="E164" s="633"/>
      <c r="F164" s="633"/>
      <c r="G164" s="633"/>
      <c r="H164" s="633"/>
      <c r="I164" s="633"/>
      <c r="J164" s="633"/>
      <c r="K164" s="633"/>
      <c r="L164" s="633"/>
      <c r="M164" s="633"/>
      <c r="N164" s="633"/>
      <c r="O164" s="633"/>
      <c r="P164" s="633"/>
      <c r="Q164" s="633"/>
      <c r="R164" s="633"/>
      <c r="S164" s="633"/>
      <c r="T164" s="633"/>
      <c r="U164" s="633"/>
      <c r="V164" s="633"/>
      <c r="W164" s="633"/>
      <c r="X164" s="633"/>
      <c r="Y164" s="633"/>
      <c r="Z164" s="633"/>
      <c r="AA164" s="633"/>
      <c r="AB164" s="633"/>
      <c r="AC164" s="633"/>
      <c r="AD164" s="613"/>
      <c r="AE164" s="613"/>
      <c r="AF164" s="114"/>
      <c r="AG164" s="114"/>
      <c r="AH164" s="114"/>
      <c r="AI164" s="114"/>
      <c r="AJ164" s="115"/>
      <c r="AK164" s="115"/>
      <c r="AL164" s="115"/>
      <c r="AM164" s="115"/>
      <c r="AN164" s="115"/>
      <c r="AO164" s="115"/>
      <c r="AP164" s="115"/>
      <c r="AQ164" s="115"/>
      <c r="AR164" s="115"/>
      <c r="AS164" s="115"/>
      <c r="AT164" s="115"/>
      <c r="AU164" s="115"/>
      <c r="AV164" s="115"/>
      <c r="AW164" s="198"/>
      <c r="AX164" s="198"/>
      <c r="AY164" s="198"/>
      <c r="AZ164" s="198"/>
      <c r="BA164" s="198"/>
      <c r="BB164" s="198"/>
      <c r="BC164" s="198"/>
    </row>
    <row r="165" spans="1:55" s="78" customFormat="1" x14ac:dyDescent="0.2">
      <c r="A165" s="79"/>
      <c r="B165" s="114"/>
      <c r="C165" s="633"/>
      <c r="D165" s="633"/>
      <c r="E165" s="633"/>
      <c r="F165" s="633"/>
      <c r="G165" s="633"/>
      <c r="H165" s="633"/>
      <c r="I165" s="633"/>
      <c r="J165" s="633"/>
      <c r="K165" s="633"/>
      <c r="L165" s="633"/>
      <c r="M165" s="633"/>
      <c r="N165" s="633"/>
      <c r="O165" s="633"/>
      <c r="P165" s="633"/>
      <c r="Q165" s="633"/>
      <c r="R165" s="633"/>
      <c r="S165" s="633"/>
      <c r="T165" s="633"/>
      <c r="U165" s="633"/>
      <c r="V165" s="633"/>
      <c r="W165" s="633"/>
      <c r="X165" s="633"/>
      <c r="Y165" s="633"/>
      <c r="Z165" s="633"/>
      <c r="AA165" s="633"/>
      <c r="AB165" s="633"/>
      <c r="AC165" s="633"/>
      <c r="AD165" s="613"/>
      <c r="AE165" s="613"/>
      <c r="AF165" s="114"/>
      <c r="AG165" s="114"/>
      <c r="AH165" s="114"/>
      <c r="AI165" s="114"/>
      <c r="AJ165" s="115"/>
      <c r="AK165" s="115"/>
      <c r="AL165" s="115"/>
      <c r="AM165" s="115"/>
      <c r="AN165" s="115"/>
      <c r="AO165" s="115"/>
      <c r="AP165" s="115"/>
      <c r="AQ165" s="115"/>
      <c r="AR165" s="115"/>
      <c r="AS165" s="115"/>
      <c r="AT165" s="115"/>
      <c r="AU165" s="115"/>
      <c r="AV165" s="115"/>
      <c r="AW165" s="198"/>
      <c r="AX165" s="198"/>
      <c r="AY165" s="198"/>
      <c r="AZ165" s="198"/>
      <c r="BA165" s="198"/>
      <c r="BB165" s="198"/>
      <c r="BC165" s="198"/>
    </row>
    <row r="166" spans="1:55" s="78" customFormat="1" x14ac:dyDescent="0.2">
      <c r="A166" s="79"/>
      <c r="B166" s="114"/>
      <c r="C166" s="633"/>
      <c r="D166" s="633"/>
      <c r="E166" s="633"/>
      <c r="F166" s="633"/>
      <c r="G166" s="633"/>
      <c r="H166" s="633"/>
      <c r="I166" s="633"/>
      <c r="J166" s="633"/>
      <c r="K166" s="633"/>
      <c r="L166" s="633"/>
      <c r="M166" s="633"/>
      <c r="N166" s="633"/>
      <c r="O166" s="633"/>
      <c r="P166" s="633"/>
      <c r="Q166" s="633"/>
      <c r="R166" s="633"/>
      <c r="S166" s="633"/>
      <c r="T166" s="633"/>
      <c r="U166" s="633"/>
      <c r="V166" s="633"/>
      <c r="W166" s="633"/>
      <c r="X166" s="633"/>
      <c r="Y166" s="633"/>
      <c r="Z166" s="633"/>
      <c r="AA166" s="633"/>
      <c r="AB166" s="641"/>
      <c r="AC166" s="633"/>
      <c r="AD166" s="613"/>
      <c r="AE166" s="613"/>
      <c r="AF166" s="114"/>
      <c r="AG166" s="114"/>
      <c r="AH166" s="114"/>
      <c r="AI166" s="114"/>
      <c r="AJ166" s="115"/>
      <c r="AK166" s="115"/>
      <c r="AL166" s="115"/>
      <c r="AM166" s="115"/>
      <c r="AN166" s="115"/>
      <c r="AO166" s="115"/>
      <c r="AP166" s="115"/>
      <c r="AQ166" s="115"/>
      <c r="AR166" s="115"/>
      <c r="AS166" s="115"/>
      <c r="AT166" s="115"/>
      <c r="AU166" s="115"/>
      <c r="AV166" s="115"/>
      <c r="AW166" s="198"/>
      <c r="AX166" s="198"/>
      <c r="AY166" s="198"/>
      <c r="AZ166" s="198"/>
      <c r="BA166" s="198"/>
      <c r="BB166" s="198"/>
      <c r="BC166" s="198"/>
    </row>
    <row r="167" spans="1:55" s="78" customFormat="1" x14ac:dyDescent="0.2">
      <c r="A167" s="79"/>
      <c r="B167" s="114"/>
      <c r="C167" s="633"/>
      <c r="D167" s="633"/>
      <c r="E167" s="633"/>
      <c r="F167" s="633"/>
      <c r="G167" s="633"/>
      <c r="H167" s="633"/>
      <c r="I167" s="633"/>
      <c r="J167" s="633"/>
      <c r="K167" s="633"/>
      <c r="L167" s="633"/>
      <c r="M167" s="633"/>
      <c r="N167" s="633"/>
      <c r="O167" s="633"/>
      <c r="P167" s="633"/>
      <c r="Q167" s="633"/>
      <c r="R167" s="633"/>
      <c r="S167" s="633"/>
      <c r="T167" s="633"/>
      <c r="U167" s="633"/>
      <c r="V167" s="633"/>
      <c r="W167" s="633"/>
      <c r="X167" s="633"/>
      <c r="Y167" s="633"/>
      <c r="Z167" s="633"/>
      <c r="AA167" s="633"/>
      <c r="AB167" s="633"/>
      <c r="AC167" s="633"/>
      <c r="AD167" s="613"/>
      <c r="AE167" s="613"/>
      <c r="AF167" s="114"/>
      <c r="AG167" s="114"/>
      <c r="AH167" s="114"/>
      <c r="AI167" s="114"/>
      <c r="AJ167" s="115"/>
      <c r="AK167" s="115"/>
      <c r="AL167" s="115"/>
      <c r="AM167" s="115"/>
      <c r="AN167" s="115"/>
      <c r="AO167" s="115"/>
      <c r="AP167" s="115"/>
      <c r="AQ167" s="115"/>
      <c r="AR167" s="115"/>
      <c r="AS167" s="115"/>
      <c r="AT167" s="115"/>
      <c r="AU167" s="115"/>
      <c r="AV167" s="115"/>
      <c r="AW167" s="198"/>
      <c r="AX167" s="198"/>
      <c r="AY167" s="198"/>
      <c r="AZ167" s="198"/>
      <c r="BA167" s="198"/>
      <c r="BB167" s="198"/>
      <c r="BC167" s="198"/>
    </row>
    <row r="168" spans="1:55" s="78" customFormat="1" x14ac:dyDescent="0.2">
      <c r="A168" s="79"/>
      <c r="B168" s="114"/>
      <c r="C168" s="633"/>
      <c r="D168" s="633"/>
      <c r="E168" s="633"/>
      <c r="F168" s="633"/>
      <c r="G168" s="633"/>
      <c r="H168" s="633"/>
      <c r="I168" s="633"/>
      <c r="J168" s="633"/>
      <c r="K168" s="633"/>
      <c r="L168" s="633"/>
      <c r="M168" s="633"/>
      <c r="N168" s="633"/>
      <c r="O168" s="633"/>
      <c r="P168" s="633"/>
      <c r="Q168" s="633"/>
      <c r="R168" s="633"/>
      <c r="S168" s="633"/>
      <c r="T168" s="633"/>
      <c r="U168" s="633"/>
      <c r="V168" s="633"/>
      <c r="W168" s="633"/>
      <c r="X168" s="633"/>
      <c r="Y168" s="633"/>
      <c r="Z168" s="633"/>
      <c r="AA168" s="633"/>
      <c r="AB168" s="633"/>
      <c r="AC168" s="633"/>
      <c r="AD168" s="613"/>
      <c r="AE168" s="613"/>
      <c r="AF168" s="114"/>
      <c r="AG168" s="114"/>
      <c r="AH168" s="114"/>
      <c r="AI168" s="114"/>
      <c r="AJ168" s="115"/>
      <c r="AK168" s="115"/>
      <c r="AL168" s="115"/>
      <c r="AM168" s="115"/>
      <c r="AN168" s="115"/>
      <c r="AO168" s="115"/>
      <c r="AP168" s="115"/>
      <c r="AQ168" s="115"/>
      <c r="AR168" s="115"/>
      <c r="AS168" s="115"/>
      <c r="AT168" s="115"/>
      <c r="AU168" s="115"/>
      <c r="AV168" s="115"/>
      <c r="AW168" s="198"/>
      <c r="AX168" s="198"/>
      <c r="AY168" s="198"/>
      <c r="AZ168" s="198"/>
      <c r="BA168" s="198"/>
      <c r="BB168" s="198"/>
      <c r="BC168" s="198"/>
    </row>
    <row r="169" spans="1:55" s="78" customFormat="1" x14ac:dyDescent="0.2">
      <c r="A169" s="79"/>
      <c r="B169" s="114"/>
      <c r="C169" s="613"/>
      <c r="D169" s="613"/>
      <c r="E169" s="613"/>
      <c r="F169" s="613"/>
      <c r="G169" s="613"/>
      <c r="H169" s="613"/>
      <c r="I169" s="613"/>
      <c r="J169" s="613"/>
      <c r="K169" s="613"/>
      <c r="L169" s="613"/>
      <c r="M169" s="613"/>
      <c r="N169" s="613"/>
      <c r="O169" s="613"/>
      <c r="P169" s="613"/>
      <c r="Q169" s="613"/>
      <c r="R169" s="613"/>
      <c r="S169" s="613"/>
      <c r="T169" s="613"/>
      <c r="U169" s="613"/>
      <c r="V169" s="619"/>
      <c r="W169" s="613"/>
      <c r="X169" s="613"/>
      <c r="Y169" s="613"/>
      <c r="Z169" s="613"/>
      <c r="AA169" s="613"/>
      <c r="AB169" s="613"/>
      <c r="AC169" s="613"/>
      <c r="AD169" s="613"/>
      <c r="AE169" s="613"/>
      <c r="AF169" s="114"/>
      <c r="AG169" s="114"/>
      <c r="AH169" s="114"/>
      <c r="AI169" s="114"/>
      <c r="AJ169" s="115"/>
      <c r="AK169" s="115"/>
      <c r="AL169" s="115"/>
      <c r="AM169" s="115"/>
      <c r="AN169" s="115"/>
      <c r="AO169" s="115"/>
      <c r="AP169" s="115"/>
      <c r="AQ169" s="115"/>
      <c r="AR169" s="115"/>
      <c r="AS169" s="115"/>
      <c r="AT169" s="115"/>
      <c r="AU169" s="115"/>
      <c r="AV169" s="115"/>
      <c r="AW169" s="198"/>
      <c r="AX169" s="198"/>
      <c r="AY169" s="198"/>
      <c r="AZ169" s="198"/>
      <c r="BA169" s="198"/>
      <c r="BB169" s="198"/>
      <c r="BC169" s="198"/>
    </row>
    <row r="170" spans="1:55" s="78" customFormat="1" x14ac:dyDescent="0.2">
      <c r="A170" s="79"/>
      <c r="B170" s="114"/>
      <c r="C170" s="613"/>
      <c r="D170" s="613"/>
      <c r="E170" s="613"/>
      <c r="F170" s="613"/>
      <c r="G170" s="613"/>
      <c r="H170" s="613"/>
      <c r="I170" s="613"/>
      <c r="J170" s="613"/>
      <c r="K170" s="613"/>
      <c r="L170" s="613"/>
      <c r="M170" s="619"/>
      <c r="N170" s="619"/>
      <c r="O170" s="619"/>
      <c r="P170" s="619"/>
      <c r="Q170" s="613"/>
      <c r="R170" s="613"/>
      <c r="S170" s="613"/>
      <c r="T170" s="613"/>
      <c r="U170" s="613"/>
      <c r="V170" s="619"/>
      <c r="W170" s="613"/>
      <c r="X170" s="613"/>
      <c r="Y170" s="613"/>
      <c r="Z170" s="613"/>
      <c r="AA170" s="613"/>
      <c r="AB170" s="613"/>
      <c r="AC170" s="613"/>
      <c r="AD170" s="613"/>
      <c r="AE170" s="613"/>
      <c r="AF170" s="114"/>
      <c r="AG170" s="114"/>
      <c r="AH170" s="114"/>
      <c r="AI170" s="114"/>
      <c r="AJ170" s="115"/>
      <c r="AK170" s="115"/>
      <c r="AL170" s="115"/>
      <c r="AM170" s="115"/>
      <c r="AN170" s="115"/>
      <c r="AO170" s="115"/>
      <c r="AP170" s="115"/>
      <c r="AQ170" s="115"/>
      <c r="AR170" s="115"/>
      <c r="AS170" s="115"/>
      <c r="AT170" s="115"/>
      <c r="AU170" s="115"/>
      <c r="AV170" s="115"/>
      <c r="AW170" s="198"/>
      <c r="AX170" s="198"/>
      <c r="AY170" s="198"/>
      <c r="AZ170" s="198"/>
      <c r="BA170" s="198"/>
      <c r="BB170" s="198"/>
      <c r="BC170" s="198"/>
    </row>
    <row r="171" spans="1:55" s="78" customFormat="1" x14ac:dyDescent="0.2">
      <c r="A171" s="79"/>
      <c r="B171" s="114"/>
      <c r="C171" s="613"/>
      <c r="D171" s="613"/>
      <c r="E171" s="613"/>
      <c r="F171" s="613"/>
      <c r="G171" s="613"/>
      <c r="H171" s="613"/>
      <c r="I171" s="613"/>
      <c r="J171" s="613"/>
      <c r="K171" s="613"/>
      <c r="L171" s="613"/>
      <c r="M171" s="613"/>
      <c r="N171" s="613"/>
      <c r="O171" s="613"/>
      <c r="P171" s="613"/>
      <c r="Q171" s="613"/>
      <c r="R171" s="613"/>
      <c r="S171" s="613"/>
      <c r="T171" s="613"/>
      <c r="U171" s="613"/>
      <c r="V171" s="619"/>
      <c r="W171" s="613"/>
      <c r="X171" s="613"/>
      <c r="Y171" s="613"/>
      <c r="Z171" s="613"/>
      <c r="AA171" s="613"/>
      <c r="AB171" s="613"/>
      <c r="AC171" s="613"/>
      <c r="AD171" s="613"/>
      <c r="AE171" s="613"/>
      <c r="AF171" s="114"/>
      <c r="AG171" s="114"/>
      <c r="AH171" s="114"/>
      <c r="AI171" s="114"/>
      <c r="AJ171" s="115"/>
      <c r="AK171" s="115"/>
      <c r="AL171" s="115"/>
      <c r="AM171" s="115"/>
      <c r="AN171" s="115"/>
      <c r="AO171" s="115"/>
      <c r="AP171" s="115"/>
      <c r="AQ171" s="115"/>
      <c r="AR171" s="115"/>
      <c r="AS171" s="115"/>
      <c r="AT171" s="115"/>
      <c r="AU171" s="115"/>
      <c r="AV171" s="115"/>
      <c r="AW171" s="198"/>
      <c r="AX171" s="198"/>
      <c r="AY171" s="198"/>
      <c r="AZ171" s="198"/>
      <c r="BA171" s="198"/>
      <c r="BB171" s="198"/>
      <c r="BC171" s="198"/>
    </row>
    <row r="172" spans="1:55" s="78" customFormat="1" x14ac:dyDescent="0.2">
      <c r="A172" s="79"/>
      <c r="B172" s="114"/>
      <c r="C172" s="613"/>
      <c r="D172" s="613"/>
      <c r="E172" s="613"/>
      <c r="F172" s="613"/>
      <c r="G172" s="613"/>
      <c r="H172" s="613"/>
      <c r="I172" s="613"/>
      <c r="J172" s="613"/>
      <c r="K172" s="613"/>
      <c r="L172" s="613"/>
      <c r="M172" s="620"/>
      <c r="N172" s="613"/>
      <c r="O172" s="613"/>
      <c r="P172" s="613"/>
      <c r="Q172" s="613"/>
      <c r="R172" s="613"/>
      <c r="S172" s="613"/>
      <c r="T172" s="613"/>
      <c r="U172" s="613"/>
      <c r="V172" s="619"/>
      <c r="W172" s="613"/>
      <c r="X172" s="613"/>
      <c r="Y172" s="613"/>
      <c r="Z172" s="613"/>
      <c r="AA172" s="613"/>
      <c r="AB172" s="613"/>
      <c r="AC172" s="613"/>
      <c r="AD172" s="613"/>
      <c r="AE172" s="613"/>
      <c r="AF172" s="114"/>
      <c r="AG172" s="114"/>
      <c r="AH172" s="114"/>
      <c r="AI172" s="114"/>
      <c r="AJ172" s="115"/>
      <c r="AK172" s="115"/>
      <c r="AL172" s="115"/>
      <c r="AM172" s="115"/>
      <c r="AN172" s="115"/>
      <c r="AO172" s="115"/>
      <c r="AP172" s="115"/>
      <c r="AQ172" s="115"/>
      <c r="AR172" s="115"/>
      <c r="AS172" s="115"/>
      <c r="AT172" s="115"/>
      <c r="AU172" s="115"/>
      <c r="AV172" s="115"/>
      <c r="AW172" s="198"/>
      <c r="AX172" s="198"/>
      <c r="AY172" s="198"/>
      <c r="AZ172" s="198"/>
      <c r="BA172" s="198"/>
      <c r="BB172" s="198"/>
      <c r="BC172" s="198"/>
    </row>
    <row r="173" spans="1:55" s="78" customFormat="1" x14ac:dyDescent="0.2">
      <c r="A173" s="79"/>
      <c r="B173" s="114"/>
      <c r="C173" s="613"/>
      <c r="D173" s="613"/>
      <c r="E173" s="613"/>
      <c r="F173" s="613"/>
      <c r="G173" s="613"/>
      <c r="H173" s="613"/>
      <c r="I173" s="613"/>
      <c r="J173" s="613"/>
      <c r="K173" s="613"/>
      <c r="L173" s="613"/>
      <c r="M173" s="613"/>
      <c r="N173" s="613"/>
      <c r="O173" s="613"/>
      <c r="P173" s="613"/>
      <c r="Q173" s="613"/>
      <c r="R173" s="613"/>
      <c r="S173" s="613"/>
      <c r="T173" s="613"/>
      <c r="U173" s="613"/>
      <c r="V173" s="619"/>
      <c r="W173" s="613"/>
      <c r="X173" s="613"/>
      <c r="Y173" s="613"/>
      <c r="Z173" s="613"/>
      <c r="AA173" s="613"/>
      <c r="AB173" s="613"/>
      <c r="AC173" s="613"/>
      <c r="AD173" s="613"/>
      <c r="AE173" s="613"/>
      <c r="AF173" s="114"/>
      <c r="AG173" s="114"/>
      <c r="AH173" s="114"/>
      <c r="AI173" s="114"/>
      <c r="AJ173" s="115"/>
      <c r="AK173" s="115"/>
      <c r="AL173" s="115"/>
      <c r="AM173" s="115"/>
      <c r="AN173" s="115"/>
      <c r="AO173" s="115"/>
      <c r="AP173" s="115"/>
      <c r="AQ173" s="115"/>
      <c r="AR173" s="115"/>
      <c r="AS173" s="115"/>
      <c r="AT173" s="115"/>
      <c r="AU173" s="115"/>
      <c r="AV173" s="115"/>
      <c r="AW173" s="198"/>
      <c r="AX173" s="198"/>
      <c r="AY173" s="198"/>
      <c r="AZ173" s="198"/>
      <c r="BA173" s="198"/>
      <c r="BB173" s="198"/>
      <c r="BC173" s="198"/>
    </row>
    <row r="174" spans="1:55" s="78" customFormat="1" x14ac:dyDescent="0.2">
      <c r="A174" s="79"/>
      <c r="B174" s="114"/>
      <c r="C174" s="613"/>
      <c r="D174" s="613"/>
      <c r="E174" s="613"/>
      <c r="F174" s="613"/>
      <c r="G174" s="613"/>
      <c r="H174" s="613"/>
      <c r="I174" s="613"/>
      <c r="J174" s="613"/>
      <c r="K174" s="613"/>
      <c r="L174" s="613"/>
      <c r="M174" s="613"/>
      <c r="N174" s="613"/>
      <c r="O174" s="613"/>
      <c r="P174" s="613"/>
      <c r="Q174" s="613"/>
      <c r="R174" s="613"/>
      <c r="S174" s="613"/>
      <c r="T174" s="613"/>
      <c r="U174" s="616"/>
      <c r="V174" s="621"/>
      <c r="W174" s="613"/>
      <c r="X174" s="613"/>
      <c r="Y174" s="613"/>
      <c r="Z174" s="613"/>
      <c r="AA174" s="613"/>
      <c r="AB174" s="613"/>
      <c r="AC174" s="613"/>
      <c r="AD174" s="613"/>
      <c r="AE174" s="613"/>
      <c r="AF174" s="114"/>
      <c r="AG174" s="114"/>
      <c r="AH174" s="114"/>
      <c r="AI174" s="114"/>
      <c r="AJ174" s="115"/>
      <c r="AK174" s="115"/>
      <c r="AL174" s="115"/>
      <c r="AM174" s="115"/>
      <c r="AN174" s="115"/>
      <c r="AO174" s="115"/>
      <c r="AP174" s="115"/>
      <c r="AQ174" s="115"/>
      <c r="AR174" s="115"/>
      <c r="AS174" s="115"/>
      <c r="AT174" s="115"/>
      <c r="AU174" s="115"/>
      <c r="AV174" s="115"/>
      <c r="AW174" s="198"/>
      <c r="AX174" s="198"/>
      <c r="AY174" s="198"/>
      <c r="AZ174" s="198"/>
      <c r="BA174" s="198"/>
      <c r="BB174" s="198"/>
      <c r="BC174" s="198"/>
    </row>
    <row r="175" spans="1:55" s="78" customFormat="1" x14ac:dyDescent="0.2">
      <c r="A175" s="79"/>
      <c r="B175" s="114"/>
      <c r="C175" s="613"/>
      <c r="D175" s="613"/>
      <c r="E175" s="613"/>
      <c r="F175" s="613"/>
      <c r="G175" s="613"/>
      <c r="H175" s="613"/>
      <c r="I175" s="613"/>
      <c r="J175" s="613"/>
      <c r="K175" s="613"/>
      <c r="L175" s="613"/>
      <c r="M175" s="613"/>
      <c r="N175" s="613"/>
      <c r="O175" s="613"/>
      <c r="P175" s="613"/>
      <c r="Q175" s="613"/>
      <c r="R175" s="613"/>
      <c r="S175" s="613"/>
      <c r="T175" s="613"/>
      <c r="U175" s="613"/>
      <c r="V175" s="619"/>
      <c r="W175" s="613"/>
      <c r="X175" s="613"/>
      <c r="Y175" s="613"/>
      <c r="Z175" s="613"/>
      <c r="AA175" s="613"/>
      <c r="AB175" s="613"/>
      <c r="AC175" s="613"/>
      <c r="AD175" s="613"/>
      <c r="AE175" s="613"/>
      <c r="AF175" s="114"/>
      <c r="AG175" s="114"/>
      <c r="AH175" s="114"/>
      <c r="AI175" s="114"/>
      <c r="AJ175" s="115"/>
      <c r="AK175" s="115"/>
      <c r="AL175" s="115"/>
      <c r="AM175" s="115"/>
      <c r="AN175" s="115"/>
      <c r="AO175" s="115"/>
      <c r="AP175" s="115"/>
      <c r="AQ175" s="115"/>
      <c r="AR175" s="115"/>
      <c r="AS175" s="115"/>
      <c r="AT175" s="115"/>
      <c r="AU175" s="115"/>
      <c r="AV175" s="115"/>
      <c r="AW175" s="198"/>
      <c r="AX175" s="198"/>
      <c r="AY175" s="198"/>
      <c r="AZ175" s="198"/>
      <c r="BA175" s="198"/>
      <c r="BB175" s="198"/>
      <c r="BC175" s="198"/>
    </row>
    <row r="176" spans="1:55" s="78" customFormat="1" x14ac:dyDescent="0.2">
      <c r="A176" s="79"/>
      <c r="B176" s="114"/>
      <c r="C176" s="613"/>
      <c r="D176" s="613"/>
      <c r="E176" s="613"/>
      <c r="F176" s="613"/>
      <c r="G176" s="613"/>
      <c r="H176" s="613"/>
      <c r="I176" s="613"/>
      <c r="J176" s="613"/>
      <c r="K176" s="613"/>
      <c r="L176" s="613"/>
      <c r="M176" s="613"/>
      <c r="N176" s="613"/>
      <c r="O176" s="613"/>
      <c r="P176" s="613"/>
      <c r="Q176" s="613"/>
      <c r="R176" s="613"/>
      <c r="S176" s="613"/>
      <c r="T176" s="613"/>
      <c r="U176" s="613"/>
      <c r="V176" s="617"/>
      <c r="W176" s="613"/>
      <c r="X176" s="613"/>
      <c r="Y176" s="613"/>
      <c r="Z176" s="613"/>
      <c r="AA176" s="613"/>
      <c r="AB176" s="613"/>
      <c r="AC176" s="613"/>
      <c r="AD176" s="613"/>
      <c r="AE176" s="613"/>
      <c r="AF176" s="114"/>
      <c r="AG176" s="114"/>
      <c r="AH176" s="114"/>
      <c r="AI176" s="114"/>
      <c r="AJ176" s="115"/>
      <c r="AK176" s="115"/>
      <c r="AL176" s="115"/>
      <c r="AM176" s="115"/>
      <c r="AN176" s="115"/>
      <c r="AO176" s="115"/>
      <c r="AP176" s="115"/>
      <c r="AQ176" s="115"/>
      <c r="AR176" s="115"/>
      <c r="AS176" s="115"/>
      <c r="AT176" s="115"/>
      <c r="AU176" s="115"/>
      <c r="AV176" s="115"/>
      <c r="AW176" s="198"/>
      <c r="AX176" s="198"/>
      <c r="AY176" s="198"/>
      <c r="AZ176" s="198"/>
      <c r="BA176" s="198"/>
      <c r="BB176" s="198"/>
      <c r="BC176" s="198"/>
    </row>
    <row r="177" spans="1:55" s="78" customFormat="1" x14ac:dyDescent="0.2">
      <c r="A177" s="79"/>
      <c r="B177" s="114"/>
      <c r="C177" s="613"/>
      <c r="D177" s="613"/>
      <c r="E177" s="613"/>
      <c r="F177" s="613"/>
      <c r="G177" s="613"/>
      <c r="H177" s="613"/>
      <c r="I177" s="613"/>
      <c r="J177" s="613"/>
      <c r="K177" s="613"/>
      <c r="L177" s="613"/>
      <c r="M177" s="613"/>
      <c r="N177" s="613"/>
      <c r="O177" s="613"/>
      <c r="P177" s="613"/>
      <c r="Q177" s="613"/>
      <c r="R177" s="613"/>
      <c r="S177" s="613"/>
      <c r="T177" s="613"/>
      <c r="U177" s="613"/>
      <c r="V177" s="617"/>
      <c r="W177" s="613"/>
      <c r="X177" s="613"/>
      <c r="Y177" s="613"/>
      <c r="Z177" s="613"/>
      <c r="AA177" s="613"/>
      <c r="AB177" s="613"/>
      <c r="AC177" s="613"/>
      <c r="AD177" s="613"/>
      <c r="AE177" s="613"/>
      <c r="AF177" s="114"/>
      <c r="AG177" s="114"/>
      <c r="AH177" s="114"/>
      <c r="AI177" s="114"/>
      <c r="AJ177" s="115"/>
      <c r="AK177" s="115"/>
      <c r="AL177" s="115"/>
      <c r="AM177" s="115"/>
      <c r="AN177" s="115"/>
      <c r="AO177" s="115"/>
      <c r="AP177" s="115"/>
      <c r="AQ177" s="115"/>
      <c r="AR177" s="115"/>
      <c r="AS177" s="115"/>
      <c r="AT177" s="115"/>
      <c r="AU177" s="115"/>
      <c r="AV177" s="115"/>
      <c r="AW177" s="198"/>
      <c r="AX177" s="198"/>
      <c r="AY177" s="198"/>
      <c r="AZ177" s="198"/>
      <c r="BA177" s="198"/>
      <c r="BB177" s="198"/>
      <c r="BC177" s="198"/>
    </row>
    <row r="178" spans="1:55" s="78" customFormat="1" x14ac:dyDescent="0.2">
      <c r="A178" s="79"/>
      <c r="B178" s="114"/>
      <c r="C178" s="613"/>
      <c r="D178" s="613"/>
      <c r="E178" s="613"/>
      <c r="F178" s="613"/>
      <c r="G178" s="613"/>
      <c r="H178" s="613"/>
      <c r="I178" s="613"/>
      <c r="J178" s="613"/>
      <c r="K178" s="613"/>
      <c r="L178" s="613"/>
      <c r="M178" s="613"/>
      <c r="N178" s="619"/>
      <c r="O178" s="619"/>
      <c r="P178" s="613"/>
      <c r="Q178" s="613"/>
      <c r="R178" s="613"/>
      <c r="S178" s="613"/>
      <c r="T178" s="613"/>
      <c r="U178" s="613"/>
      <c r="V178" s="617"/>
      <c r="W178" s="613"/>
      <c r="X178" s="613"/>
      <c r="Y178" s="613"/>
      <c r="Z178" s="613"/>
      <c r="AA178" s="613"/>
      <c r="AB178" s="613"/>
      <c r="AC178" s="613"/>
      <c r="AD178" s="613"/>
      <c r="AE178" s="613"/>
      <c r="AF178" s="114"/>
      <c r="AG178" s="114"/>
      <c r="AH178" s="114"/>
      <c r="AI178" s="114"/>
      <c r="AJ178" s="115"/>
      <c r="AK178" s="115"/>
      <c r="AL178" s="115"/>
      <c r="AM178" s="115"/>
      <c r="AN178" s="115"/>
      <c r="AO178" s="115"/>
      <c r="AP178" s="115"/>
      <c r="AQ178" s="115"/>
      <c r="AR178" s="115"/>
      <c r="AS178" s="115"/>
      <c r="AT178" s="115"/>
      <c r="AU178" s="115"/>
      <c r="AV178" s="115"/>
      <c r="AW178" s="198"/>
      <c r="AX178" s="198"/>
      <c r="AY178" s="198"/>
      <c r="AZ178" s="198"/>
      <c r="BA178" s="198"/>
      <c r="BB178" s="198"/>
      <c r="BC178" s="198"/>
    </row>
    <row r="179" spans="1:55" s="78" customFormat="1" x14ac:dyDescent="0.2">
      <c r="A179" s="79"/>
      <c r="B179" s="114"/>
      <c r="C179" s="613"/>
      <c r="D179" s="613"/>
      <c r="E179" s="613"/>
      <c r="F179" s="613"/>
      <c r="G179" s="613"/>
      <c r="H179" s="613"/>
      <c r="I179" s="613"/>
      <c r="J179" s="613"/>
      <c r="K179" s="613"/>
      <c r="L179" s="613"/>
      <c r="M179" s="613"/>
      <c r="N179" s="619"/>
      <c r="O179" s="619"/>
      <c r="P179" s="613"/>
      <c r="Q179" s="613"/>
      <c r="R179" s="613"/>
      <c r="S179" s="613"/>
      <c r="T179" s="613"/>
      <c r="U179" s="613"/>
      <c r="V179" s="617"/>
      <c r="W179" s="613"/>
      <c r="X179" s="613"/>
      <c r="Y179" s="613"/>
      <c r="Z179" s="613"/>
      <c r="AA179" s="613"/>
      <c r="AB179" s="613"/>
      <c r="AC179" s="613"/>
      <c r="AD179" s="613"/>
      <c r="AE179" s="613"/>
      <c r="AF179" s="114"/>
      <c r="AG179" s="114"/>
      <c r="AH179" s="114"/>
      <c r="AI179" s="114"/>
      <c r="AJ179" s="115"/>
      <c r="AK179" s="115"/>
      <c r="AL179" s="115"/>
      <c r="AM179" s="115"/>
      <c r="AN179" s="115"/>
      <c r="AO179" s="115"/>
      <c r="AP179" s="115"/>
      <c r="AQ179" s="115"/>
      <c r="AR179" s="115"/>
      <c r="AS179" s="115"/>
      <c r="AT179" s="115"/>
      <c r="AU179" s="115"/>
      <c r="AV179" s="115"/>
      <c r="AW179" s="198"/>
      <c r="AX179" s="198"/>
      <c r="AY179" s="198"/>
      <c r="AZ179" s="198"/>
      <c r="BA179" s="198"/>
      <c r="BB179" s="198"/>
      <c r="BC179" s="198"/>
    </row>
    <row r="180" spans="1:55" s="78" customFormat="1" x14ac:dyDescent="0.2">
      <c r="A180" s="79"/>
      <c r="B180" s="114"/>
      <c r="C180" s="613"/>
      <c r="D180" s="613"/>
      <c r="E180" s="613"/>
      <c r="F180" s="613"/>
      <c r="G180" s="613"/>
      <c r="H180" s="613"/>
      <c r="I180" s="613"/>
      <c r="J180" s="613"/>
      <c r="K180" s="613"/>
      <c r="L180" s="613"/>
      <c r="M180" s="613"/>
      <c r="N180" s="619"/>
      <c r="O180" s="619"/>
      <c r="P180" s="613"/>
      <c r="Q180" s="613"/>
      <c r="R180" s="613"/>
      <c r="S180" s="613"/>
      <c r="T180" s="613"/>
      <c r="U180" s="613"/>
      <c r="V180" s="617"/>
      <c r="W180" s="613"/>
      <c r="X180" s="613"/>
      <c r="Y180" s="613"/>
      <c r="Z180" s="613"/>
      <c r="AA180" s="613"/>
      <c r="AB180" s="613"/>
      <c r="AC180" s="613"/>
      <c r="AD180" s="613"/>
      <c r="AE180" s="613"/>
      <c r="AF180" s="114"/>
      <c r="AG180" s="114"/>
      <c r="AH180" s="114"/>
      <c r="AI180" s="114"/>
      <c r="AJ180" s="115"/>
      <c r="AK180" s="115"/>
      <c r="AL180" s="115"/>
      <c r="AM180" s="115"/>
      <c r="AN180" s="115"/>
      <c r="AO180" s="115"/>
      <c r="AP180" s="115"/>
      <c r="AQ180" s="115"/>
      <c r="AR180" s="115"/>
      <c r="AS180" s="115"/>
      <c r="AT180" s="115"/>
      <c r="AU180" s="115"/>
      <c r="AV180" s="115"/>
      <c r="AW180" s="198"/>
      <c r="AX180" s="198"/>
      <c r="AY180" s="198"/>
      <c r="AZ180" s="198"/>
      <c r="BA180" s="198"/>
      <c r="BB180" s="198"/>
      <c r="BC180" s="198"/>
    </row>
    <row r="181" spans="1:55" s="78" customFormat="1" x14ac:dyDescent="0.2">
      <c r="A181" s="79"/>
      <c r="B181" s="114"/>
      <c r="C181" s="613"/>
      <c r="D181" s="613"/>
      <c r="E181" s="613"/>
      <c r="F181" s="613"/>
      <c r="G181" s="613"/>
      <c r="H181" s="613"/>
      <c r="I181" s="613"/>
      <c r="J181" s="613"/>
      <c r="K181" s="613"/>
      <c r="L181" s="613"/>
      <c r="M181" s="613"/>
      <c r="N181" s="619"/>
      <c r="O181" s="619"/>
      <c r="P181" s="613"/>
      <c r="Q181" s="613"/>
      <c r="R181" s="613"/>
      <c r="S181" s="613"/>
      <c r="T181" s="613"/>
      <c r="U181" s="613"/>
      <c r="V181" s="619"/>
      <c r="W181" s="613"/>
      <c r="X181" s="613"/>
      <c r="Y181" s="613"/>
      <c r="Z181" s="613"/>
      <c r="AA181" s="613"/>
      <c r="AB181" s="613"/>
      <c r="AC181" s="613"/>
      <c r="AD181" s="613"/>
      <c r="AE181" s="613"/>
      <c r="AF181" s="114"/>
      <c r="AG181" s="114"/>
      <c r="AH181" s="114"/>
      <c r="AI181" s="114"/>
      <c r="AJ181" s="115"/>
      <c r="AK181" s="115"/>
      <c r="AL181" s="115"/>
      <c r="AM181" s="115"/>
      <c r="AN181" s="115"/>
      <c r="AO181" s="115"/>
      <c r="AP181" s="115"/>
      <c r="AQ181" s="115"/>
      <c r="AR181" s="115"/>
      <c r="AS181" s="115"/>
      <c r="AT181" s="115"/>
      <c r="AU181" s="115"/>
      <c r="AV181" s="115"/>
      <c r="AW181" s="198"/>
      <c r="AX181" s="198"/>
      <c r="AY181" s="198"/>
      <c r="AZ181" s="198"/>
      <c r="BA181" s="198"/>
      <c r="BB181" s="198"/>
      <c r="BC181" s="198"/>
    </row>
    <row r="182" spans="1:55" s="78" customFormat="1" ht="13.6" x14ac:dyDescent="0.25">
      <c r="A182" s="79"/>
      <c r="B182" s="114"/>
      <c r="C182" s="613"/>
      <c r="D182" s="613"/>
      <c r="E182" s="613"/>
      <c r="F182" s="613"/>
      <c r="G182" s="613"/>
      <c r="H182" s="613"/>
      <c r="I182" s="613"/>
      <c r="J182" s="613"/>
      <c r="K182" s="613"/>
      <c r="L182" s="613"/>
      <c r="M182" s="613"/>
      <c r="N182" s="619"/>
      <c r="O182" s="619"/>
      <c r="P182" s="613"/>
      <c r="Q182" s="613"/>
      <c r="R182" s="613"/>
      <c r="S182" s="613"/>
      <c r="T182" s="613"/>
      <c r="U182" s="622"/>
      <c r="V182" s="623"/>
      <c r="W182" s="622"/>
      <c r="X182" s="622"/>
      <c r="Y182" s="613"/>
      <c r="Z182" s="613"/>
      <c r="AA182" s="613"/>
      <c r="AB182" s="613"/>
      <c r="AC182" s="613"/>
      <c r="AD182" s="613"/>
      <c r="AE182" s="613"/>
      <c r="AF182" s="114"/>
      <c r="AG182" s="114"/>
      <c r="AH182" s="114"/>
      <c r="AI182" s="114"/>
      <c r="AJ182" s="115"/>
      <c r="AK182" s="115"/>
      <c r="AL182" s="115"/>
      <c r="AM182" s="115"/>
      <c r="AN182" s="115"/>
      <c r="AO182" s="115"/>
      <c r="AP182" s="115"/>
      <c r="AQ182" s="115"/>
      <c r="AR182" s="115"/>
      <c r="AS182" s="115"/>
      <c r="AT182" s="115"/>
      <c r="AU182" s="115"/>
      <c r="AV182" s="115"/>
      <c r="AW182" s="198"/>
      <c r="AX182" s="198"/>
      <c r="AY182" s="198"/>
      <c r="AZ182" s="198"/>
      <c r="BA182" s="198"/>
      <c r="BB182" s="198"/>
      <c r="BC182" s="198"/>
    </row>
    <row r="183" spans="1:55" s="78" customFormat="1" x14ac:dyDescent="0.2">
      <c r="A183" s="79"/>
      <c r="B183" s="114"/>
      <c r="C183" s="616"/>
      <c r="D183" s="616"/>
      <c r="E183" s="616"/>
      <c r="F183" s="616"/>
      <c r="G183" s="624"/>
      <c r="H183" s="624"/>
      <c r="I183" s="625"/>
      <c r="J183" s="625"/>
      <c r="K183" s="625"/>
      <c r="L183" s="625"/>
      <c r="M183" s="625"/>
      <c r="N183" s="624"/>
      <c r="O183" s="624"/>
      <c r="P183" s="625"/>
      <c r="Q183" s="624"/>
      <c r="R183" s="624"/>
      <c r="S183" s="624"/>
      <c r="T183" s="613"/>
      <c r="U183" s="613"/>
      <c r="V183" s="619"/>
      <c r="W183" s="613"/>
      <c r="X183" s="613"/>
      <c r="Y183" s="613"/>
      <c r="Z183" s="613"/>
      <c r="AA183" s="613"/>
      <c r="AB183" s="613"/>
      <c r="AC183" s="613"/>
      <c r="AD183" s="613"/>
      <c r="AE183" s="613"/>
      <c r="AF183" s="114"/>
      <c r="AG183" s="114"/>
      <c r="AH183" s="114"/>
      <c r="AI183" s="114"/>
      <c r="AJ183" s="115"/>
      <c r="AK183" s="115"/>
      <c r="AL183" s="115"/>
      <c r="AM183" s="115"/>
      <c r="AN183" s="115"/>
      <c r="AO183" s="115"/>
      <c r="AP183" s="115"/>
      <c r="AQ183" s="115"/>
      <c r="AR183" s="115"/>
      <c r="AS183" s="115"/>
      <c r="AT183" s="115"/>
      <c r="AU183" s="115"/>
      <c r="AV183" s="115"/>
      <c r="AW183" s="198"/>
      <c r="AX183" s="198"/>
      <c r="AY183" s="198"/>
      <c r="AZ183" s="198"/>
      <c r="BA183" s="198"/>
      <c r="BB183" s="198"/>
      <c r="BC183" s="198"/>
    </row>
    <row r="184" spans="1:55" s="78" customFormat="1" x14ac:dyDescent="0.2">
      <c r="A184" s="79"/>
      <c r="B184" s="114"/>
      <c r="C184" s="613"/>
      <c r="D184" s="613"/>
      <c r="E184" s="613"/>
      <c r="F184" s="613"/>
      <c r="G184" s="613"/>
      <c r="H184" s="613"/>
      <c r="I184" s="613"/>
      <c r="J184" s="613"/>
      <c r="K184" s="613"/>
      <c r="L184" s="613"/>
      <c r="M184" s="613"/>
      <c r="N184" s="619"/>
      <c r="O184" s="619"/>
      <c r="P184" s="613"/>
      <c r="Q184" s="613"/>
      <c r="R184" s="613"/>
      <c r="S184" s="613"/>
      <c r="T184" s="613"/>
      <c r="U184" s="613"/>
      <c r="V184" s="619"/>
      <c r="W184" s="613"/>
      <c r="X184" s="613"/>
      <c r="Y184" s="613"/>
      <c r="Z184" s="613"/>
      <c r="AA184" s="613"/>
      <c r="AB184" s="613"/>
      <c r="AC184" s="613"/>
      <c r="AD184" s="613"/>
      <c r="AE184" s="613"/>
      <c r="AF184" s="114"/>
      <c r="AG184" s="114"/>
      <c r="AH184" s="114"/>
      <c r="AI184" s="114"/>
      <c r="AJ184" s="115"/>
      <c r="AK184" s="115"/>
      <c r="AL184" s="115"/>
      <c r="AM184" s="115"/>
      <c r="AN184" s="115"/>
      <c r="AO184" s="115"/>
      <c r="AP184" s="115"/>
      <c r="AQ184" s="115"/>
      <c r="AR184" s="115"/>
      <c r="AS184" s="115"/>
      <c r="AT184" s="115"/>
      <c r="AU184" s="115"/>
      <c r="AV184" s="115"/>
      <c r="AW184" s="198"/>
      <c r="AX184" s="198"/>
      <c r="AY184" s="198"/>
      <c r="AZ184" s="198"/>
      <c r="BA184" s="198"/>
      <c r="BB184" s="198"/>
      <c r="BC184" s="198"/>
    </row>
    <row r="185" spans="1:55" s="78" customFormat="1" x14ac:dyDescent="0.2">
      <c r="A185" s="79"/>
      <c r="B185" s="114"/>
      <c r="C185" s="625"/>
      <c r="D185" s="625"/>
      <c r="E185" s="625"/>
      <c r="F185" s="625"/>
      <c r="G185" s="613"/>
      <c r="H185" s="613"/>
      <c r="I185" s="613"/>
      <c r="J185" s="613"/>
      <c r="K185" s="613"/>
      <c r="L185" s="613"/>
      <c r="M185" s="626"/>
      <c r="N185" s="619"/>
      <c r="O185" s="619"/>
      <c r="P185" s="626"/>
      <c r="Q185" s="613"/>
      <c r="R185" s="613"/>
      <c r="S185" s="613"/>
      <c r="T185" s="613"/>
      <c r="U185" s="613"/>
      <c r="V185" s="619"/>
      <c r="W185" s="613"/>
      <c r="X185" s="613"/>
      <c r="Y185" s="613"/>
      <c r="Z185" s="613"/>
      <c r="AA185" s="613"/>
      <c r="AB185" s="613"/>
      <c r="AC185" s="613"/>
      <c r="AD185" s="618"/>
      <c r="AE185" s="613"/>
      <c r="AF185" s="114"/>
      <c r="AG185" s="114"/>
      <c r="AH185" s="114"/>
      <c r="AI185" s="114"/>
      <c r="AJ185" s="115"/>
      <c r="AK185" s="115"/>
      <c r="AL185" s="115"/>
      <c r="AM185" s="115"/>
      <c r="AN185" s="115"/>
      <c r="AO185" s="115"/>
      <c r="AP185" s="115"/>
      <c r="AQ185" s="115"/>
      <c r="AR185" s="115"/>
      <c r="AS185" s="115"/>
      <c r="AT185" s="115"/>
      <c r="AU185" s="115"/>
      <c r="AV185" s="115"/>
      <c r="AW185" s="198"/>
      <c r="AX185" s="198"/>
      <c r="AY185" s="198"/>
      <c r="AZ185" s="198"/>
      <c r="BA185" s="198"/>
      <c r="BB185" s="198"/>
      <c r="BC185" s="198"/>
    </row>
    <row r="186" spans="1:55" s="78" customFormat="1" x14ac:dyDescent="0.2">
      <c r="A186" s="79"/>
      <c r="B186" s="114"/>
      <c r="C186" s="625"/>
      <c r="D186" s="625"/>
      <c r="E186" s="625"/>
      <c r="F186" s="625"/>
      <c r="G186" s="613"/>
      <c r="H186" s="613"/>
      <c r="I186" s="613"/>
      <c r="J186" s="613"/>
      <c r="K186" s="613"/>
      <c r="L186" s="613"/>
      <c r="M186" s="613"/>
      <c r="N186" s="619"/>
      <c r="O186" s="619"/>
      <c r="P186" s="613"/>
      <c r="Q186" s="613"/>
      <c r="R186" s="613"/>
      <c r="S186" s="613"/>
      <c r="T186" s="613"/>
      <c r="U186" s="613"/>
      <c r="V186" s="619"/>
      <c r="W186" s="613"/>
      <c r="X186" s="613"/>
      <c r="Y186" s="613"/>
      <c r="Z186" s="613"/>
      <c r="AA186" s="613"/>
      <c r="AB186" s="613"/>
      <c r="AC186" s="613"/>
      <c r="AD186" s="613"/>
      <c r="AE186" s="613"/>
      <c r="AF186" s="114"/>
      <c r="AG186" s="114"/>
      <c r="AH186" s="114"/>
      <c r="AI186" s="114"/>
      <c r="AJ186" s="115"/>
      <c r="AK186" s="115"/>
      <c r="AL186" s="115"/>
      <c r="AM186" s="115"/>
      <c r="AN186" s="115"/>
      <c r="AO186" s="115"/>
      <c r="AP186" s="115"/>
      <c r="AQ186" s="115"/>
      <c r="AR186" s="115"/>
      <c r="AS186" s="115"/>
      <c r="AT186" s="115"/>
      <c r="AU186" s="115"/>
      <c r="AV186" s="115"/>
      <c r="AW186" s="198"/>
      <c r="AX186" s="198"/>
      <c r="AY186" s="198"/>
      <c r="AZ186" s="198"/>
      <c r="BA186" s="198"/>
      <c r="BB186" s="198"/>
      <c r="BC186" s="198"/>
    </row>
    <row r="187" spans="1:55" s="78" customFormat="1" ht="13.6" x14ac:dyDescent="0.25">
      <c r="A187" s="79"/>
      <c r="B187" s="114"/>
      <c r="C187" s="625"/>
      <c r="D187" s="625"/>
      <c r="E187" s="625"/>
      <c r="F187" s="625"/>
      <c r="G187" s="613"/>
      <c r="H187" s="613"/>
      <c r="I187" s="613"/>
      <c r="J187" s="613"/>
      <c r="K187" s="613"/>
      <c r="L187" s="613"/>
      <c r="M187" s="617"/>
      <c r="N187" s="619"/>
      <c r="O187" s="619"/>
      <c r="P187" s="613"/>
      <c r="Q187" s="613"/>
      <c r="R187" s="613"/>
      <c r="S187" s="613"/>
      <c r="T187" s="613"/>
      <c r="U187" s="613"/>
      <c r="V187" s="619"/>
      <c r="W187" s="613"/>
      <c r="X187" s="613"/>
      <c r="Y187" s="622"/>
      <c r="Z187" s="622"/>
      <c r="AA187" s="613"/>
      <c r="AB187" s="613"/>
      <c r="AC187" s="613"/>
      <c r="AD187" s="618"/>
      <c r="AE187" s="613"/>
      <c r="AF187" s="114"/>
      <c r="AG187" s="114"/>
      <c r="AH187" s="114"/>
      <c r="AI187" s="114"/>
      <c r="AJ187" s="115"/>
      <c r="AK187" s="115"/>
      <c r="AL187" s="115"/>
      <c r="AM187" s="115"/>
      <c r="AN187" s="115"/>
      <c r="AO187" s="115"/>
      <c r="AP187" s="115"/>
      <c r="AQ187" s="115"/>
      <c r="AR187" s="115"/>
      <c r="AS187" s="115"/>
      <c r="AT187" s="115"/>
      <c r="AU187" s="115"/>
      <c r="AV187" s="115"/>
      <c r="AW187" s="198"/>
      <c r="AX187" s="198"/>
      <c r="AY187" s="198"/>
      <c r="AZ187" s="198"/>
      <c r="BA187" s="198"/>
      <c r="BB187" s="198"/>
      <c r="BC187" s="198"/>
    </row>
    <row r="188" spans="1:55" s="78" customFormat="1" x14ac:dyDescent="0.2">
      <c r="A188" s="79"/>
      <c r="B188" s="114"/>
      <c r="C188" s="625"/>
      <c r="D188" s="625"/>
      <c r="E188" s="625"/>
      <c r="F188" s="625"/>
      <c r="G188" s="613"/>
      <c r="H188" s="613"/>
      <c r="I188" s="613"/>
      <c r="J188" s="613"/>
      <c r="K188" s="613"/>
      <c r="L188" s="613"/>
      <c r="M188" s="613"/>
      <c r="N188" s="619"/>
      <c r="O188" s="619"/>
      <c r="P188" s="613"/>
      <c r="Q188" s="613"/>
      <c r="R188" s="613"/>
      <c r="S188" s="613"/>
      <c r="T188" s="613"/>
      <c r="U188" s="613"/>
      <c r="V188" s="619"/>
      <c r="W188" s="613"/>
      <c r="X188" s="613"/>
      <c r="Y188" s="613"/>
      <c r="Z188" s="613"/>
      <c r="AA188" s="613"/>
      <c r="AB188" s="613"/>
      <c r="AC188" s="613"/>
      <c r="AD188" s="613"/>
      <c r="AE188" s="613"/>
      <c r="AF188" s="114"/>
      <c r="AG188" s="114"/>
      <c r="AH188" s="114"/>
      <c r="AI188" s="114"/>
      <c r="AJ188" s="115"/>
      <c r="AK188" s="115"/>
      <c r="AL188" s="115"/>
      <c r="AM188" s="115"/>
      <c r="AN188" s="115"/>
      <c r="AO188" s="115"/>
      <c r="AP188" s="115"/>
      <c r="AQ188" s="115"/>
      <c r="AR188" s="115"/>
      <c r="AS188" s="115"/>
      <c r="AT188" s="115"/>
      <c r="AU188" s="115"/>
      <c r="AV188" s="115"/>
      <c r="AW188" s="198"/>
      <c r="AX188" s="198"/>
      <c r="AY188" s="198"/>
      <c r="AZ188" s="198"/>
      <c r="BA188" s="198"/>
      <c r="BB188" s="198"/>
      <c r="BC188" s="198"/>
    </row>
    <row r="189" spans="1:55" s="78" customFormat="1" ht="13.6" x14ac:dyDescent="0.25">
      <c r="A189" s="79"/>
      <c r="B189" s="114"/>
      <c r="C189" s="625"/>
      <c r="D189" s="625"/>
      <c r="E189" s="625"/>
      <c r="F189" s="625"/>
      <c r="G189" s="613"/>
      <c r="H189" s="613"/>
      <c r="I189" s="613"/>
      <c r="J189" s="613"/>
      <c r="K189" s="613"/>
      <c r="L189" s="613"/>
      <c r="M189" s="617"/>
      <c r="N189" s="619"/>
      <c r="O189" s="619"/>
      <c r="P189" s="613"/>
      <c r="Q189" s="613"/>
      <c r="R189" s="613"/>
      <c r="S189" s="613"/>
      <c r="T189" s="613"/>
      <c r="U189" s="613"/>
      <c r="V189" s="619"/>
      <c r="W189" s="613"/>
      <c r="X189" s="613"/>
      <c r="Y189" s="613"/>
      <c r="Z189" s="613"/>
      <c r="AA189" s="613"/>
      <c r="AB189" s="622"/>
      <c r="AC189" s="613"/>
      <c r="AD189" s="613"/>
      <c r="AE189" s="613"/>
      <c r="AF189" s="114"/>
      <c r="AG189" s="114"/>
      <c r="AH189" s="114"/>
      <c r="AI189" s="114"/>
      <c r="AJ189" s="115"/>
      <c r="AK189" s="115"/>
      <c r="AL189" s="115"/>
      <c r="AM189" s="115"/>
      <c r="AN189" s="115"/>
      <c r="AO189" s="115"/>
      <c r="AP189" s="115"/>
      <c r="AQ189" s="115"/>
      <c r="AR189" s="115"/>
      <c r="AS189" s="115"/>
      <c r="AT189" s="115"/>
      <c r="AU189" s="115"/>
      <c r="AV189" s="115"/>
      <c r="AW189" s="198"/>
      <c r="AX189" s="198"/>
      <c r="AY189" s="198"/>
      <c r="AZ189" s="198"/>
      <c r="BA189" s="198"/>
      <c r="BB189" s="198"/>
      <c r="BC189" s="198"/>
    </row>
    <row r="190" spans="1:55" s="78" customFormat="1" x14ac:dyDescent="0.2">
      <c r="A190" s="79"/>
      <c r="B190" s="114"/>
      <c r="C190" s="613"/>
      <c r="D190" s="613"/>
      <c r="E190" s="613"/>
      <c r="F190" s="613"/>
      <c r="G190" s="613"/>
      <c r="H190" s="613"/>
      <c r="I190" s="613"/>
      <c r="J190" s="613"/>
      <c r="K190" s="613"/>
      <c r="L190" s="613"/>
      <c r="M190" s="613"/>
      <c r="N190" s="619"/>
      <c r="O190" s="619"/>
      <c r="P190" s="613"/>
      <c r="Q190" s="613"/>
      <c r="R190" s="613"/>
      <c r="S190" s="613"/>
      <c r="T190" s="613"/>
      <c r="U190" s="613"/>
      <c r="V190" s="619"/>
      <c r="W190" s="613"/>
      <c r="X190" s="613"/>
      <c r="Y190" s="613"/>
      <c r="Z190" s="613"/>
      <c r="AA190" s="613"/>
      <c r="AB190" s="613"/>
      <c r="AC190" s="613"/>
      <c r="AD190" s="613"/>
      <c r="AE190" s="613"/>
      <c r="AF190" s="114"/>
      <c r="AG190" s="114"/>
      <c r="AH190" s="114"/>
      <c r="AI190" s="114"/>
      <c r="AJ190" s="115"/>
      <c r="AK190" s="115"/>
      <c r="AL190" s="115"/>
      <c r="AM190" s="115"/>
      <c r="AN190" s="115"/>
      <c r="AO190" s="115"/>
      <c r="AP190" s="115"/>
      <c r="AQ190" s="115"/>
      <c r="AR190" s="115"/>
      <c r="AS190" s="115"/>
      <c r="AT190" s="115"/>
      <c r="AU190" s="115"/>
      <c r="AV190" s="115"/>
      <c r="AW190" s="198"/>
      <c r="AX190" s="198"/>
      <c r="AY190" s="198"/>
      <c r="AZ190" s="198"/>
      <c r="BA190" s="198"/>
      <c r="BB190" s="198"/>
      <c r="BC190" s="198"/>
    </row>
    <row r="191" spans="1:55" s="78" customFormat="1" ht="13.6" x14ac:dyDescent="0.25">
      <c r="A191" s="79"/>
      <c r="B191" s="543"/>
      <c r="C191" s="622"/>
      <c r="D191" s="622"/>
      <c r="E191" s="622"/>
      <c r="F191" s="622"/>
      <c r="G191" s="622"/>
      <c r="H191" s="622"/>
      <c r="I191" s="622"/>
      <c r="J191" s="622"/>
      <c r="K191" s="622"/>
      <c r="L191" s="622"/>
      <c r="M191" s="627"/>
      <c r="N191" s="628"/>
      <c r="O191" s="628"/>
      <c r="P191" s="629"/>
      <c r="Q191" s="622"/>
      <c r="R191" s="622"/>
      <c r="S191" s="622"/>
      <c r="T191" s="613"/>
      <c r="U191" s="613"/>
      <c r="V191" s="619"/>
      <c r="W191" s="613"/>
      <c r="X191" s="613"/>
      <c r="Y191" s="613"/>
      <c r="Z191" s="613"/>
      <c r="AA191" s="613"/>
      <c r="AB191" s="613"/>
      <c r="AC191" s="613"/>
      <c r="AD191" s="613"/>
      <c r="AE191" s="613"/>
      <c r="AF191" s="114"/>
      <c r="AG191" s="114"/>
      <c r="AH191" s="114"/>
      <c r="AI191" s="114"/>
      <c r="AJ191" s="115"/>
      <c r="AK191" s="115"/>
      <c r="AL191" s="115"/>
      <c r="AM191" s="115"/>
      <c r="AN191" s="115"/>
      <c r="AO191" s="115"/>
      <c r="AP191" s="115"/>
      <c r="AQ191" s="115"/>
      <c r="AR191" s="115"/>
      <c r="AS191" s="115"/>
      <c r="AT191" s="115"/>
      <c r="AU191" s="115"/>
      <c r="AV191" s="115"/>
      <c r="AW191" s="198"/>
      <c r="AX191" s="198"/>
      <c r="AY191" s="198"/>
      <c r="AZ191" s="198"/>
      <c r="BA191" s="198"/>
      <c r="BB191" s="198"/>
      <c r="BC191" s="198"/>
    </row>
    <row r="192" spans="1:55" s="78" customFormat="1" x14ac:dyDescent="0.2">
      <c r="A192" s="79"/>
      <c r="B192" s="114"/>
      <c r="C192" s="613"/>
      <c r="D192" s="613"/>
      <c r="E192" s="613"/>
      <c r="F192" s="613"/>
      <c r="G192" s="613"/>
      <c r="H192" s="613"/>
      <c r="I192" s="617"/>
      <c r="J192" s="617"/>
      <c r="K192" s="617"/>
      <c r="L192" s="617"/>
      <c r="M192" s="617"/>
      <c r="N192" s="619"/>
      <c r="O192" s="619"/>
      <c r="P192" s="617"/>
      <c r="Q192" s="613"/>
      <c r="R192" s="613"/>
      <c r="S192" s="613"/>
      <c r="T192" s="613"/>
      <c r="U192" s="613"/>
      <c r="V192" s="619"/>
      <c r="W192" s="613"/>
      <c r="X192" s="613"/>
      <c r="Y192" s="613"/>
      <c r="Z192" s="613"/>
      <c r="AA192" s="613"/>
      <c r="AB192" s="613"/>
      <c r="AC192" s="613"/>
      <c r="AD192" s="613"/>
      <c r="AE192" s="613"/>
      <c r="AF192" s="114"/>
      <c r="AG192" s="114"/>
      <c r="AH192" s="114"/>
      <c r="AI192" s="114"/>
      <c r="AJ192" s="115"/>
      <c r="AK192" s="115"/>
      <c r="AL192" s="115"/>
      <c r="AM192" s="115"/>
      <c r="AN192" s="115"/>
      <c r="AO192" s="115"/>
      <c r="AP192" s="115"/>
      <c r="AQ192" s="115"/>
      <c r="AR192" s="115"/>
      <c r="AS192" s="115"/>
      <c r="AT192" s="115"/>
      <c r="AU192" s="115"/>
      <c r="AV192" s="115"/>
      <c r="AW192" s="198"/>
      <c r="AX192" s="198"/>
      <c r="AY192" s="198"/>
      <c r="AZ192" s="198"/>
      <c r="BA192" s="198"/>
      <c r="BB192" s="198"/>
      <c r="BC192" s="198"/>
    </row>
    <row r="193" spans="1:55" s="78" customFormat="1" ht="13.6" x14ac:dyDescent="0.25">
      <c r="A193" s="79"/>
      <c r="B193" s="114"/>
      <c r="C193" s="613"/>
      <c r="D193" s="613"/>
      <c r="E193" s="613"/>
      <c r="F193" s="613"/>
      <c r="G193" s="613"/>
      <c r="H193" s="613"/>
      <c r="I193" s="622"/>
      <c r="J193" s="622"/>
      <c r="K193" s="622"/>
      <c r="L193" s="622"/>
      <c r="M193" s="613"/>
      <c r="N193" s="619"/>
      <c r="O193" s="619"/>
      <c r="P193" s="613"/>
      <c r="Q193" s="613"/>
      <c r="R193" s="613"/>
      <c r="S193" s="613"/>
      <c r="T193" s="613"/>
      <c r="U193" s="613"/>
      <c r="V193" s="619"/>
      <c r="W193" s="613"/>
      <c r="X193" s="630"/>
      <c r="Y193" s="613"/>
      <c r="Z193" s="613"/>
      <c r="AA193" s="613"/>
      <c r="AB193" s="613"/>
      <c r="AC193" s="613"/>
      <c r="AD193" s="613"/>
      <c r="AE193" s="613"/>
      <c r="AF193" s="114"/>
      <c r="AG193" s="114"/>
      <c r="AH193" s="114"/>
      <c r="AI193" s="114"/>
      <c r="AJ193" s="115"/>
      <c r="AK193" s="115"/>
      <c r="AL193" s="115"/>
      <c r="AM193" s="115"/>
      <c r="AN193" s="115"/>
      <c r="AO193" s="115"/>
      <c r="AP193" s="115"/>
      <c r="AQ193" s="115"/>
      <c r="AR193" s="115"/>
      <c r="AS193" s="115"/>
      <c r="AT193" s="115"/>
      <c r="AU193" s="115"/>
      <c r="AV193" s="115"/>
      <c r="AW193" s="198"/>
      <c r="AX193" s="198"/>
      <c r="AY193" s="198"/>
      <c r="AZ193" s="198"/>
      <c r="BA193" s="198"/>
      <c r="BB193" s="198"/>
      <c r="BC193" s="198"/>
    </row>
    <row r="194" spans="1:55" s="78" customFormat="1" ht="13.6" x14ac:dyDescent="0.25">
      <c r="A194" s="79"/>
      <c r="B194" s="114"/>
      <c r="C194" s="613"/>
      <c r="D194" s="613"/>
      <c r="E194" s="613"/>
      <c r="F194" s="613"/>
      <c r="G194" s="613"/>
      <c r="H194" s="613"/>
      <c r="I194" s="627"/>
      <c r="J194" s="627"/>
      <c r="K194" s="627"/>
      <c r="L194" s="627"/>
      <c r="M194" s="613"/>
      <c r="N194" s="619"/>
      <c r="O194" s="619"/>
      <c r="P194" s="613"/>
      <c r="Q194" s="613"/>
      <c r="R194" s="613"/>
      <c r="S194" s="613"/>
      <c r="T194" s="613"/>
      <c r="U194" s="613"/>
      <c r="V194" s="631"/>
      <c r="W194" s="613"/>
      <c r="X194" s="613"/>
      <c r="Y194" s="613"/>
      <c r="Z194" s="613"/>
      <c r="AA194" s="632"/>
      <c r="AB194" s="613"/>
      <c r="AC194" s="613"/>
      <c r="AD194" s="613"/>
      <c r="AE194" s="613"/>
      <c r="AF194" s="114"/>
      <c r="AG194" s="114"/>
      <c r="AH194" s="114"/>
      <c r="AI194" s="114"/>
      <c r="AJ194" s="115"/>
      <c r="AK194" s="115"/>
      <c r="AL194" s="115"/>
      <c r="AM194" s="115"/>
      <c r="AN194" s="115"/>
      <c r="AO194" s="115"/>
      <c r="AP194" s="115"/>
      <c r="AQ194" s="115"/>
      <c r="AR194" s="115"/>
      <c r="AS194" s="115"/>
      <c r="AT194" s="115"/>
      <c r="AU194" s="115"/>
      <c r="AV194" s="115"/>
      <c r="AW194" s="198"/>
      <c r="AX194" s="198"/>
      <c r="AY194" s="198"/>
      <c r="AZ194" s="198"/>
      <c r="BA194" s="198"/>
      <c r="BB194" s="198"/>
      <c r="BC194" s="198"/>
    </row>
    <row r="195" spans="1:55" s="78" customFormat="1" x14ac:dyDescent="0.2">
      <c r="A195" s="79"/>
      <c r="B195" s="114"/>
      <c r="C195" s="613"/>
      <c r="D195" s="613"/>
      <c r="E195" s="613"/>
      <c r="F195" s="613"/>
      <c r="G195" s="613"/>
      <c r="H195" s="613"/>
      <c r="I195" s="613"/>
      <c r="J195" s="613"/>
      <c r="K195" s="613"/>
      <c r="L195" s="613"/>
      <c r="M195" s="613"/>
      <c r="N195" s="619"/>
      <c r="O195" s="619"/>
      <c r="P195" s="613"/>
      <c r="Q195" s="613"/>
      <c r="R195" s="613"/>
      <c r="S195" s="613"/>
      <c r="T195" s="613"/>
      <c r="U195" s="613"/>
      <c r="V195" s="619"/>
      <c r="W195" s="613"/>
      <c r="X195" s="613"/>
      <c r="Y195" s="613"/>
      <c r="Z195" s="613"/>
      <c r="AA195" s="613"/>
      <c r="AB195" s="613"/>
      <c r="AC195" s="613"/>
      <c r="AD195" s="613"/>
      <c r="AE195" s="613"/>
      <c r="AF195" s="114"/>
      <c r="AG195" s="114"/>
      <c r="AH195" s="114"/>
      <c r="AI195" s="114"/>
      <c r="AJ195" s="115"/>
      <c r="AK195" s="115"/>
      <c r="AL195" s="115"/>
      <c r="AM195" s="115"/>
      <c r="AN195" s="115"/>
      <c r="AO195" s="115"/>
      <c r="AP195" s="115"/>
      <c r="AQ195" s="115"/>
      <c r="AR195" s="115"/>
      <c r="AS195" s="115"/>
      <c r="AT195" s="115"/>
      <c r="AU195" s="115"/>
      <c r="AV195" s="115"/>
      <c r="AW195" s="198"/>
      <c r="AX195" s="198"/>
      <c r="AY195" s="198"/>
      <c r="AZ195" s="198"/>
      <c r="BA195" s="198"/>
      <c r="BB195" s="198"/>
      <c r="BC195" s="198"/>
    </row>
    <row r="196" spans="1:55" s="78" customFormat="1" x14ac:dyDescent="0.2">
      <c r="A196" s="79"/>
      <c r="B196" s="114"/>
      <c r="C196" s="613"/>
      <c r="D196" s="613"/>
      <c r="E196" s="613"/>
      <c r="F196" s="613"/>
      <c r="G196" s="613"/>
      <c r="H196" s="613"/>
      <c r="I196" s="613"/>
      <c r="J196" s="613"/>
      <c r="K196" s="613"/>
      <c r="L196" s="613"/>
      <c r="M196" s="613"/>
      <c r="N196" s="619"/>
      <c r="O196" s="619"/>
      <c r="P196" s="613"/>
      <c r="Q196" s="613"/>
      <c r="R196" s="613"/>
      <c r="S196" s="613"/>
      <c r="T196" s="613"/>
      <c r="U196" s="613"/>
      <c r="V196" s="619"/>
      <c r="W196" s="613"/>
      <c r="X196" s="613"/>
      <c r="Y196" s="613"/>
      <c r="Z196" s="613"/>
      <c r="AA196" s="613"/>
      <c r="AB196" s="613"/>
      <c r="AC196" s="613"/>
      <c r="AD196" s="613"/>
      <c r="AE196" s="613"/>
      <c r="AF196" s="114"/>
      <c r="AG196" s="114"/>
      <c r="AH196" s="114"/>
      <c r="AI196" s="114"/>
      <c r="AJ196" s="115"/>
      <c r="AK196" s="115"/>
      <c r="AL196" s="115"/>
      <c r="AM196" s="115"/>
      <c r="AN196" s="115"/>
      <c r="AO196" s="115"/>
      <c r="AP196" s="115"/>
      <c r="AQ196" s="115"/>
      <c r="AR196" s="115"/>
      <c r="AS196" s="115"/>
      <c r="AT196" s="115"/>
      <c r="AU196" s="115"/>
      <c r="AV196" s="115"/>
      <c r="AW196" s="198"/>
      <c r="AX196" s="198"/>
      <c r="AY196" s="198"/>
      <c r="AZ196" s="198"/>
      <c r="BA196" s="198"/>
      <c r="BB196" s="198"/>
      <c r="BC196" s="198"/>
    </row>
    <row r="197" spans="1:55" s="78" customFormat="1" x14ac:dyDescent="0.2">
      <c r="A197" s="79"/>
      <c r="B197" s="114"/>
      <c r="C197" s="613"/>
      <c r="D197" s="613"/>
      <c r="E197" s="613"/>
      <c r="F197" s="613"/>
      <c r="G197" s="613"/>
      <c r="H197" s="613"/>
      <c r="I197" s="613"/>
      <c r="J197" s="613"/>
      <c r="K197" s="613"/>
      <c r="L197" s="613"/>
      <c r="M197" s="613"/>
      <c r="N197" s="619"/>
      <c r="O197" s="619"/>
      <c r="P197" s="613"/>
      <c r="Q197" s="613"/>
      <c r="R197" s="613"/>
      <c r="S197" s="613"/>
      <c r="T197" s="616"/>
      <c r="U197" s="613"/>
      <c r="V197" s="619"/>
      <c r="W197" s="613"/>
      <c r="X197" s="613"/>
      <c r="Y197" s="613"/>
      <c r="Z197" s="613"/>
      <c r="AA197" s="613"/>
      <c r="AB197" s="613"/>
      <c r="AC197" s="613"/>
      <c r="AD197" s="613"/>
      <c r="AE197" s="613"/>
      <c r="AF197" s="114"/>
      <c r="AG197" s="114"/>
      <c r="AH197" s="114"/>
      <c r="AI197" s="114"/>
      <c r="AJ197" s="115"/>
      <c r="AK197" s="115"/>
      <c r="AL197" s="115"/>
      <c r="AM197" s="115"/>
      <c r="AN197" s="115"/>
      <c r="AO197" s="115"/>
      <c r="AP197" s="115"/>
      <c r="AQ197" s="115"/>
      <c r="AR197" s="115"/>
      <c r="AS197" s="115"/>
      <c r="AT197" s="115"/>
      <c r="AU197" s="115"/>
      <c r="AV197" s="115"/>
      <c r="AW197" s="198"/>
      <c r="AX197" s="198"/>
      <c r="AY197" s="198"/>
      <c r="AZ197" s="198"/>
      <c r="BA197" s="198"/>
      <c r="BB197" s="198"/>
      <c r="BC197" s="198"/>
    </row>
    <row r="198" spans="1:55" s="78" customFormat="1" x14ac:dyDescent="0.2">
      <c r="A198" s="79"/>
      <c r="B198" s="115"/>
      <c r="C198" s="613"/>
      <c r="D198" s="613"/>
      <c r="E198" s="613"/>
      <c r="F198" s="613"/>
      <c r="G198" s="613"/>
      <c r="H198" s="613"/>
      <c r="I198" s="613"/>
      <c r="J198" s="613"/>
      <c r="K198" s="613"/>
      <c r="L198" s="613"/>
      <c r="M198" s="613"/>
      <c r="N198" s="619"/>
      <c r="O198" s="619"/>
      <c r="P198" s="613"/>
      <c r="Q198" s="613"/>
      <c r="R198" s="613"/>
      <c r="S198" s="613"/>
      <c r="T198" s="613"/>
      <c r="U198" s="613"/>
      <c r="V198" s="619"/>
      <c r="W198" s="613"/>
      <c r="X198" s="613"/>
      <c r="Y198" s="613"/>
      <c r="Z198" s="613"/>
      <c r="AA198" s="613"/>
      <c r="AB198" s="613"/>
      <c r="AC198" s="613"/>
      <c r="AD198" s="613"/>
      <c r="AE198" s="613"/>
      <c r="AF198" s="114"/>
      <c r="AG198" s="114"/>
      <c r="AH198" s="114"/>
      <c r="AI198" s="114"/>
      <c r="AJ198" s="115"/>
      <c r="AK198" s="115"/>
      <c r="AL198" s="115"/>
      <c r="AM198" s="115"/>
      <c r="AN198" s="115"/>
      <c r="AO198" s="115"/>
      <c r="AP198" s="115"/>
      <c r="AQ198" s="115"/>
      <c r="AR198" s="115"/>
      <c r="AS198" s="115"/>
      <c r="AT198" s="115"/>
      <c r="AU198" s="115"/>
      <c r="AV198" s="115"/>
      <c r="AW198" s="198"/>
      <c r="AX198" s="198"/>
      <c r="AY198" s="198"/>
      <c r="AZ198" s="198"/>
      <c r="BA198" s="198"/>
      <c r="BB198" s="198"/>
      <c r="BC198" s="198"/>
    </row>
    <row r="199" spans="1:55" s="78" customFormat="1" x14ac:dyDescent="0.2">
      <c r="A199" s="79"/>
      <c r="B199" s="115"/>
      <c r="C199" s="613"/>
      <c r="D199" s="613"/>
      <c r="E199" s="613"/>
      <c r="F199" s="613"/>
      <c r="G199" s="613"/>
      <c r="H199" s="613"/>
      <c r="I199" s="613"/>
      <c r="J199" s="613"/>
      <c r="K199" s="613"/>
      <c r="L199" s="613"/>
      <c r="M199" s="613"/>
      <c r="N199" s="619"/>
      <c r="O199" s="619"/>
      <c r="P199" s="613"/>
      <c r="Q199" s="613"/>
      <c r="R199" s="613"/>
      <c r="S199" s="613"/>
      <c r="T199" s="613"/>
      <c r="U199" s="613"/>
      <c r="V199" s="619"/>
      <c r="W199" s="613"/>
      <c r="X199" s="613"/>
      <c r="Y199" s="613"/>
      <c r="Z199" s="613"/>
      <c r="AA199" s="613"/>
      <c r="AB199" s="613"/>
      <c r="AC199" s="613"/>
      <c r="AD199" s="613"/>
      <c r="AE199" s="613"/>
      <c r="AF199" s="114"/>
      <c r="AG199" s="114"/>
      <c r="AH199" s="114"/>
      <c r="AI199" s="114"/>
      <c r="AJ199" s="115"/>
      <c r="AK199" s="115"/>
      <c r="AL199" s="115"/>
      <c r="AM199" s="115"/>
      <c r="AN199" s="115"/>
      <c r="AO199" s="115"/>
      <c r="AP199" s="115"/>
      <c r="AQ199" s="115"/>
      <c r="AR199" s="115"/>
      <c r="AS199" s="115"/>
      <c r="AT199" s="115"/>
      <c r="AU199" s="115"/>
      <c r="AV199" s="115"/>
      <c r="AW199" s="198"/>
      <c r="AX199" s="198"/>
      <c r="AY199" s="198"/>
      <c r="AZ199" s="198"/>
      <c r="BA199" s="198"/>
      <c r="BB199" s="198"/>
      <c r="BC199" s="198"/>
    </row>
    <row r="200" spans="1:55" s="78" customFormat="1" x14ac:dyDescent="0.2">
      <c r="A200" s="79"/>
      <c r="B200" s="115"/>
      <c r="C200" s="613"/>
      <c r="D200" s="613"/>
      <c r="E200" s="613"/>
      <c r="F200" s="613"/>
      <c r="G200" s="613"/>
      <c r="H200" s="613"/>
      <c r="I200" s="613"/>
      <c r="J200" s="613"/>
      <c r="K200" s="613"/>
      <c r="L200" s="613"/>
      <c r="M200" s="613"/>
      <c r="N200" s="619"/>
      <c r="O200" s="619"/>
      <c r="P200" s="613"/>
      <c r="Q200" s="613"/>
      <c r="R200" s="613"/>
      <c r="S200" s="613"/>
      <c r="T200" s="613"/>
      <c r="U200" s="613"/>
      <c r="V200" s="619"/>
      <c r="W200" s="613"/>
      <c r="X200" s="613"/>
      <c r="Y200" s="613"/>
      <c r="Z200" s="613"/>
      <c r="AA200" s="613"/>
      <c r="AB200" s="613"/>
      <c r="AC200" s="613"/>
      <c r="AD200" s="613"/>
      <c r="AE200" s="613"/>
      <c r="AF200" s="114"/>
      <c r="AG200" s="114"/>
      <c r="AH200" s="114"/>
      <c r="AI200" s="114"/>
      <c r="AJ200" s="115"/>
      <c r="AK200" s="115"/>
      <c r="AL200" s="115"/>
      <c r="AM200" s="115"/>
      <c r="AN200" s="115"/>
      <c r="AO200" s="115"/>
      <c r="AP200" s="115"/>
      <c r="AQ200" s="115"/>
      <c r="AR200" s="115"/>
      <c r="AS200" s="115"/>
      <c r="AT200" s="115"/>
      <c r="AU200" s="115"/>
      <c r="AV200" s="115"/>
      <c r="AW200" s="198"/>
      <c r="AX200" s="198"/>
      <c r="AY200" s="198"/>
      <c r="AZ200" s="198"/>
      <c r="BA200" s="198"/>
      <c r="BB200" s="198"/>
      <c r="BC200" s="198"/>
    </row>
    <row r="201" spans="1:55" s="80" customFormat="1" x14ac:dyDescent="0.2">
      <c r="A201" s="79"/>
      <c r="B201" s="115"/>
      <c r="C201" s="613"/>
      <c r="D201" s="613"/>
      <c r="E201" s="613"/>
      <c r="F201" s="613"/>
      <c r="G201" s="613"/>
      <c r="H201" s="613"/>
      <c r="I201" s="613"/>
      <c r="J201" s="613"/>
      <c r="K201" s="613"/>
      <c r="L201" s="613"/>
      <c r="M201" s="613"/>
      <c r="N201" s="619"/>
      <c r="O201" s="619"/>
      <c r="P201" s="613"/>
      <c r="Q201" s="613"/>
      <c r="R201" s="613"/>
      <c r="S201" s="613"/>
      <c r="T201" s="613"/>
      <c r="U201" s="613"/>
      <c r="V201" s="619"/>
      <c r="W201" s="613"/>
      <c r="X201" s="613"/>
      <c r="Y201" s="613"/>
      <c r="Z201" s="613"/>
      <c r="AA201" s="613"/>
      <c r="AB201" s="613"/>
      <c r="AC201" s="613"/>
      <c r="AD201" s="613"/>
      <c r="AE201" s="613"/>
      <c r="AF201" s="114"/>
      <c r="AG201" s="114"/>
      <c r="AH201" s="114"/>
      <c r="AI201" s="114"/>
      <c r="AJ201" s="115"/>
      <c r="AK201" s="115"/>
      <c r="AL201" s="115"/>
      <c r="AM201" s="115"/>
      <c r="AN201" s="115"/>
      <c r="AO201" s="115"/>
      <c r="AP201" s="115"/>
      <c r="AQ201" s="115"/>
      <c r="AR201" s="115"/>
      <c r="AS201" s="115"/>
      <c r="AT201" s="115"/>
      <c r="AU201" s="115"/>
      <c r="AV201" s="115"/>
      <c r="AW201" s="198"/>
      <c r="AX201" s="198"/>
      <c r="AY201" s="198"/>
      <c r="AZ201" s="198"/>
      <c r="BA201" s="198"/>
      <c r="BB201" s="198"/>
      <c r="BC201" s="198"/>
    </row>
    <row r="202" spans="1:55" s="80" customFormat="1" x14ac:dyDescent="0.2">
      <c r="A202" s="79"/>
      <c r="B202" s="115"/>
      <c r="C202" s="613"/>
      <c r="D202" s="613"/>
      <c r="E202" s="613"/>
      <c r="F202" s="613"/>
      <c r="G202" s="613"/>
      <c r="H202" s="613"/>
      <c r="I202" s="613"/>
      <c r="J202" s="613"/>
      <c r="K202" s="613"/>
      <c r="L202" s="613"/>
      <c r="M202" s="613"/>
      <c r="N202" s="619"/>
      <c r="O202" s="619"/>
      <c r="P202" s="613"/>
      <c r="Q202" s="613"/>
      <c r="R202" s="613"/>
      <c r="S202" s="613"/>
      <c r="T202" s="613"/>
      <c r="U202" s="613"/>
      <c r="V202" s="619"/>
      <c r="W202" s="613"/>
      <c r="X202" s="613"/>
      <c r="Y202" s="613"/>
      <c r="Z202" s="613"/>
      <c r="AA202" s="613"/>
      <c r="AB202" s="613"/>
      <c r="AC202" s="613"/>
      <c r="AD202" s="613"/>
      <c r="AE202" s="613"/>
      <c r="AF202" s="114"/>
      <c r="AG202" s="114"/>
      <c r="AH202" s="114"/>
      <c r="AI202" s="114"/>
      <c r="AJ202" s="115"/>
      <c r="AK202" s="115"/>
      <c r="AL202" s="115"/>
      <c r="AM202" s="115"/>
      <c r="AN202" s="115"/>
      <c r="AO202" s="115"/>
      <c r="AP202" s="115"/>
      <c r="AQ202" s="115"/>
      <c r="AR202" s="115"/>
      <c r="AS202" s="115"/>
      <c r="AT202" s="115"/>
      <c r="AU202" s="115"/>
      <c r="AV202" s="115"/>
      <c r="AW202" s="198"/>
      <c r="AX202" s="198"/>
      <c r="AY202" s="198"/>
      <c r="AZ202" s="198"/>
      <c r="BA202" s="198"/>
      <c r="BB202" s="198"/>
      <c r="BC202" s="198"/>
    </row>
    <row r="203" spans="1:55" s="80" customFormat="1" x14ac:dyDescent="0.2">
      <c r="A203" s="53"/>
      <c r="B203" s="115"/>
      <c r="C203" s="613"/>
      <c r="D203" s="613"/>
      <c r="E203" s="613"/>
      <c r="F203" s="613"/>
      <c r="G203" s="613"/>
      <c r="H203" s="613"/>
      <c r="I203" s="613"/>
      <c r="J203" s="613"/>
      <c r="K203" s="613"/>
      <c r="L203" s="613"/>
      <c r="M203" s="613"/>
      <c r="N203" s="619"/>
      <c r="O203" s="619"/>
      <c r="P203" s="613"/>
      <c r="Q203" s="613"/>
      <c r="R203" s="613"/>
      <c r="S203" s="613"/>
      <c r="T203" s="613"/>
      <c r="U203" s="613"/>
      <c r="V203" s="619"/>
      <c r="W203" s="613"/>
      <c r="X203" s="613"/>
      <c r="Y203" s="613"/>
      <c r="Z203" s="613"/>
      <c r="AA203" s="613"/>
      <c r="AB203" s="613"/>
      <c r="AC203" s="613"/>
      <c r="AD203" s="613"/>
      <c r="AE203" s="613"/>
      <c r="AF203" s="114"/>
      <c r="AG203" s="114"/>
      <c r="AH203" s="114"/>
      <c r="AI203" s="114"/>
      <c r="AJ203" s="115"/>
      <c r="AK203" s="115"/>
      <c r="AL203" s="115"/>
      <c r="AM203" s="115"/>
      <c r="AN203" s="115"/>
      <c r="AO203" s="115"/>
      <c r="AP203" s="115"/>
      <c r="AQ203" s="115"/>
      <c r="AR203" s="115"/>
      <c r="AS203" s="115"/>
      <c r="AT203" s="115"/>
      <c r="AU203" s="115"/>
      <c r="AV203" s="115"/>
      <c r="AW203" s="198"/>
      <c r="AX203" s="198"/>
      <c r="AY203" s="198"/>
      <c r="AZ203" s="198"/>
      <c r="BA203" s="198"/>
      <c r="BB203" s="198"/>
      <c r="BC203" s="198"/>
    </row>
    <row r="204" spans="1:55" s="84" customFormat="1" x14ac:dyDescent="0.2">
      <c r="A204" s="53"/>
      <c r="B204" s="115"/>
      <c r="C204" s="613"/>
      <c r="D204" s="613"/>
      <c r="E204" s="613"/>
      <c r="F204" s="613"/>
      <c r="G204" s="613"/>
      <c r="H204" s="613"/>
      <c r="I204" s="613"/>
      <c r="J204" s="613"/>
      <c r="K204" s="613"/>
      <c r="L204" s="613"/>
      <c r="M204" s="613"/>
      <c r="N204" s="619"/>
      <c r="O204" s="619"/>
      <c r="P204" s="613"/>
      <c r="Q204" s="613"/>
      <c r="R204" s="613"/>
      <c r="S204" s="613"/>
      <c r="T204" s="613"/>
      <c r="U204" s="613"/>
      <c r="V204" s="619"/>
      <c r="W204" s="613"/>
      <c r="X204" s="613"/>
      <c r="Y204" s="613"/>
      <c r="Z204" s="613"/>
      <c r="AA204" s="613"/>
      <c r="AB204" s="613"/>
      <c r="AC204" s="613"/>
      <c r="AD204" s="613"/>
      <c r="AE204" s="613"/>
      <c r="AF204" s="114"/>
      <c r="AG204" s="114"/>
      <c r="AH204" s="114"/>
      <c r="AI204" s="114"/>
      <c r="AJ204" s="115"/>
      <c r="AK204" s="115"/>
      <c r="AL204" s="115"/>
      <c r="AM204" s="115"/>
      <c r="AN204" s="115"/>
      <c r="AO204" s="115"/>
      <c r="AP204" s="115"/>
      <c r="AQ204" s="115"/>
      <c r="AR204" s="115"/>
      <c r="AS204" s="115"/>
      <c r="AT204" s="115"/>
      <c r="AU204" s="115"/>
      <c r="AV204" s="115"/>
      <c r="AW204" s="198"/>
      <c r="AX204" s="198"/>
      <c r="AY204" s="198"/>
      <c r="AZ204" s="198"/>
      <c r="BA204" s="198"/>
      <c r="BB204" s="198"/>
      <c r="BC204" s="198"/>
    </row>
    <row r="205" spans="1:55" s="84" customFormat="1" ht="13.6" x14ac:dyDescent="0.25">
      <c r="A205" s="53"/>
      <c r="B205" s="115"/>
      <c r="C205" s="613"/>
      <c r="D205" s="613"/>
      <c r="E205" s="613"/>
      <c r="F205" s="613"/>
      <c r="G205" s="613"/>
      <c r="H205" s="613"/>
      <c r="I205" s="613"/>
      <c r="J205" s="613"/>
      <c r="K205" s="613"/>
      <c r="L205" s="613"/>
      <c r="M205" s="613"/>
      <c r="N205" s="619"/>
      <c r="O205" s="619"/>
      <c r="P205" s="613"/>
      <c r="Q205" s="613"/>
      <c r="R205" s="613"/>
      <c r="S205" s="613"/>
      <c r="T205" s="622"/>
      <c r="U205" s="613"/>
      <c r="V205" s="619"/>
      <c r="W205" s="613"/>
      <c r="X205" s="613"/>
      <c r="Y205" s="613"/>
      <c r="Z205" s="613"/>
      <c r="AA205" s="613"/>
      <c r="AB205" s="613"/>
      <c r="AC205" s="613"/>
      <c r="AD205" s="613"/>
      <c r="AE205" s="613"/>
      <c r="AF205" s="114"/>
      <c r="AG205" s="114"/>
      <c r="AH205" s="114"/>
      <c r="AI205" s="114"/>
      <c r="AJ205" s="115"/>
      <c r="AK205" s="115"/>
      <c r="AL205" s="115"/>
      <c r="AM205" s="115"/>
      <c r="AN205" s="115"/>
      <c r="AO205" s="115"/>
      <c r="AP205" s="115"/>
      <c r="AQ205" s="115"/>
      <c r="AR205" s="115"/>
      <c r="AS205" s="115"/>
      <c r="AT205" s="115"/>
      <c r="AU205" s="115"/>
      <c r="AV205" s="115"/>
      <c r="AW205" s="198"/>
      <c r="AX205" s="198"/>
      <c r="AY205" s="198"/>
      <c r="AZ205" s="198"/>
      <c r="BA205" s="198"/>
      <c r="BB205" s="198"/>
      <c r="BC205" s="198"/>
    </row>
    <row r="206" spans="1:55" s="122" customFormat="1" x14ac:dyDescent="0.2">
      <c r="A206" s="55"/>
      <c r="B206" s="115"/>
      <c r="C206" s="613"/>
      <c r="D206" s="613"/>
      <c r="E206" s="613"/>
      <c r="F206" s="613"/>
      <c r="G206" s="613"/>
      <c r="H206" s="613"/>
      <c r="I206" s="613"/>
      <c r="J206" s="613"/>
      <c r="K206" s="613"/>
      <c r="L206" s="613"/>
      <c r="M206" s="613"/>
      <c r="N206" s="619"/>
      <c r="O206" s="619"/>
      <c r="P206" s="613"/>
      <c r="Q206" s="613"/>
      <c r="R206" s="613"/>
      <c r="S206" s="613"/>
      <c r="T206" s="613"/>
      <c r="U206" s="613"/>
      <c r="V206" s="619"/>
      <c r="W206" s="613"/>
      <c r="X206" s="613"/>
      <c r="Y206" s="613"/>
      <c r="Z206" s="613"/>
      <c r="AA206" s="613"/>
      <c r="AB206" s="613"/>
      <c r="AC206" s="613"/>
      <c r="AD206" s="613"/>
      <c r="AE206" s="613"/>
      <c r="AF206" s="114"/>
      <c r="AG206" s="114"/>
      <c r="AH206" s="114"/>
      <c r="AI206" s="114"/>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row>
    <row r="207" spans="1:55" s="124" customFormat="1" ht="13.6" x14ac:dyDescent="0.25">
      <c r="A207" s="55"/>
      <c r="B207" s="115"/>
      <c r="C207" s="613"/>
      <c r="D207" s="613"/>
      <c r="E207" s="613"/>
      <c r="F207" s="613"/>
      <c r="G207" s="613"/>
      <c r="H207" s="613"/>
      <c r="I207" s="613"/>
      <c r="J207" s="613"/>
      <c r="K207" s="613"/>
      <c r="L207" s="613"/>
      <c r="M207" s="613"/>
      <c r="N207" s="619"/>
      <c r="O207" s="619"/>
      <c r="P207" s="622"/>
      <c r="Q207" s="613"/>
      <c r="R207" s="613"/>
      <c r="S207" s="613"/>
      <c r="T207" s="613"/>
      <c r="U207" s="613"/>
      <c r="V207" s="619"/>
      <c r="W207" s="613"/>
      <c r="X207" s="613"/>
      <c r="Y207" s="613"/>
      <c r="Z207" s="613"/>
      <c r="AA207" s="613"/>
      <c r="AB207" s="613"/>
      <c r="AC207" s="613"/>
      <c r="AD207" s="613"/>
      <c r="AE207" s="613"/>
      <c r="AF207" s="114"/>
      <c r="AG207" s="114"/>
      <c r="AH207" s="114"/>
      <c r="AI207" s="114"/>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row>
    <row r="208" spans="1:55" s="84" customFormat="1" x14ac:dyDescent="0.2">
      <c r="A208" s="121"/>
      <c r="B208" s="115"/>
      <c r="C208" s="613"/>
      <c r="D208" s="613"/>
      <c r="E208" s="613"/>
      <c r="F208" s="613"/>
      <c r="G208" s="613"/>
      <c r="H208" s="613"/>
      <c r="I208" s="613"/>
      <c r="J208" s="613"/>
      <c r="K208" s="613"/>
      <c r="L208" s="613"/>
      <c r="M208" s="613"/>
      <c r="N208" s="619"/>
      <c r="O208" s="619"/>
      <c r="P208" s="613"/>
      <c r="Q208" s="613"/>
      <c r="R208" s="613"/>
      <c r="S208" s="613"/>
      <c r="T208" s="613"/>
      <c r="U208" s="613"/>
      <c r="V208" s="619"/>
      <c r="W208" s="613"/>
      <c r="X208" s="613"/>
      <c r="Y208" s="613"/>
      <c r="Z208" s="613"/>
      <c r="AA208" s="613"/>
      <c r="AB208" s="613"/>
      <c r="AC208" s="613"/>
      <c r="AD208" s="613"/>
      <c r="AE208" s="613"/>
      <c r="AF208" s="114"/>
      <c r="AG208" s="114"/>
      <c r="AH208" s="114"/>
      <c r="AI208" s="114"/>
      <c r="AJ208" s="115"/>
      <c r="AK208" s="115"/>
      <c r="AL208" s="115"/>
      <c r="AM208" s="115"/>
      <c r="AN208" s="115"/>
      <c r="AO208" s="115"/>
      <c r="AP208" s="115"/>
      <c r="AQ208" s="115"/>
      <c r="AR208" s="115"/>
      <c r="AS208" s="115"/>
      <c r="AT208" s="115"/>
      <c r="AU208" s="115"/>
      <c r="AV208" s="115"/>
      <c r="AW208" s="198"/>
      <c r="AX208" s="198"/>
      <c r="AY208" s="198"/>
      <c r="AZ208" s="198"/>
      <c r="BA208" s="198"/>
      <c r="BB208" s="198"/>
      <c r="BC208" s="198"/>
    </row>
    <row r="209" spans="1:55" s="84" customFormat="1" x14ac:dyDescent="0.2">
      <c r="A209" s="123"/>
      <c r="B209" s="115"/>
      <c r="C209" s="613"/>
      <c r="D209" s="613"/>
      <c r="E209" s="613"/>
      <c r="F209" s="613"/>
      <c r="G209" s="613"/>
      <c r="H209" s="613"/>
      <c r="I209" s="613"/>
      <c r="J209" s="613"/>
      <c r="K209" s="613"/>
      <c r="L209" s="613"/>
      <c r="M209" s="613"/>
      <c r="N209" s="619"/>
      <c r="O209" s="619"/>
      <c r="P209" s="613"/>
      <c r="Q209" s="613"/>
      <c r="R209" s="613"/>
      <c r="S209" s="613"/>
      <c r="T209" s="613"/>
      <c r="U209" s="613"/>
      <c r="V209" s="619"/>
      <c r="W209" s="613"/>
      <c r="X209" s="613"/>
      <c r="Y209" s="613"/>
      <c r="Z209" s="613"/>
      <c r="AA209" s="613"/>
      <c r="AB209" s="613"/>
      <c r="AC209" s="613"/>
      <c r="AD209" s="613"/>
      <c r="AE209" s="613"/>
      <c r="AF209" s="114"/>
      <c r="AG209" s="114"/>
      <c r="AH209" s="114"/>
      <c r="AI209" s="114"/>
      <c r="AJ209" s="115"/>
      <c r="AK209" s="115"/>
      <c r="AL209" s="115"/>
      <c r="AM209" s="115"/>
      <c r="AN209" s="115"/>
      <c r="AO209" s="115"/>
      <c r="AP209" s="115"/>
      <c r="AQ209" s="115"/>
      <c r="AR209" s="115"/>
      <c r="AS209" s="115"/>
      <c r="AT209" s="115"/>
      <c r="AU209" s="115"/>
      <c r="AV209" s="115"/>
      <c r="AW209" s="198"/>
      <c r="AX209" s="198"/>
      <c r="AY209" s="198"/>
      <c r="AZ209" s="198"/>
      <c r="BA209" s="198"/>
      <c r="BB209" s="198"/>
      <c r="BC209" s="198"/>
    </row>
    <row r="210" spans="1:55" ht="13.6" x14ac:dyDescent="0.25">
      <c r="A210" s="55"/>
      <c r="B210" s="115"/>
      <c r="C210" s="613"/>
      <c r="D210" s="613"/>
      <c r="E210" s="613"/>
      <c r="F210" s="613"/>
      <c r="G210" s="613"/>
      <c r="H210" s="613"/>
      <c r="I210" s="613"/>
      <c r="J210" s="613"/>
      <c r="K210" s="613"/>
      <c r="L210" s="613"/>
      <c r="M210" s="613"/>
      <c r="N210" s="619"/>
      <c r="O210" s="619"/>
      <c r="P210" s="613"/>
      <c r="Q210" s="613"/>
      <c r="R210" s="613"/>
      <c r="S210" s="613"/>
      <c r="T210" s="613"/>
      <c r="U210" s="613"/>
      <c r="V210" s="619"/>
      <c r="W210" s="613"/>
      <c r="X210" s="613"/>
      <c r="Y210" s="613"/>
      <c r="Z210" s="613"/>
      <c r="AA210" s="613"/>
      <c r="AB210" s="613"/>
      <c r="AC210" s="613"/>
      <c r="AD210" s="622"/>
      <c r="AE210" s="613"/>
      <c r="AF210" s="114"/>
      <c r="AG210" s="114"/>
      <c r="AH210" s="114"/>
      <c r="AI210" s="114"/>
      <c r="AJ210" s="115"/>
      <c r="AK210" s="115"/>
      <c r="AL210" s="115"/>
      <c r="AM210" s="115"/>
      <c r="AN210" s="115"/>
      <c r="AO210" s="115"/>
      <c r="AP210" s="115"/>
      <c r="AQ210" s="115"/>
      <c r="AR210" s="115"/>
      <c r="AS210" s="115"/>
      <c r="AT210" s="115"/>
      <c r="AU210" s="115"/>
      <c r="AV210" s="115"/>
    </row>
    <row r="211" spans="1:55" ht="13.6" x14ac:dyDescent="0.25">
      <c r="A211" s="55"/>
      <c r="B211" s="115"/>
      <c r="C211" s="613"/>
      <c r="D211" s="613"/>
      <c r="E211" s="613"/>
      <c r="F211" s="613"/>
      <c r="G211" s="613"/>
      <c r="H211" s="613"/>
      <c r="I211" s="613"/>
      <c r="J211" s="613"/>
      <c r="K211" s="613"/>
      <c r="L211" s="613"/>
      <c r="M211" s="613"/>
      <c r="N211" s="619"/>
      <c r="O211" s="619"/>
      <c r="P211" s="622"/>
      <c r="Q211" s="613"/>
      <c r="R211" s="613"/>
      <c r="S211" s="613"/>
      <c r="T211" s="613"/>
      <c r="U211" s="613"/>
      <c r="V211" s="619"/>
      <c r="W211" s="613"/>
      <c r="X211" s="613"/>
      <c r="Y211" s="613"/>
      <c r="Z211" s="613"/>
      <c r="AA211" s="613"/>
      <c r="AB211" s="613"/>
      <c r="AC211" s="613"/>
      <c r="AD211" s="613"/>
      <c r="AE211" s="613"/>
      <c r="AF211" s="114"/>
      <c r="AG211" s="114"/>
      <c r="AH211" s="114"/>
      <c r="AI211" s="114"/>
      <c r="AJ211" s="115"/>
      <c r="AK211" s="115"/>
      <c r="AL211" s="115"/>
      <c r="AM211" s="115"/>
      <c r="AN211" s="115"/>
      <c r="AO211" s="115"/>
      <c r="AP211" s="115"/>
      <c r="AQ211" s="115"/>
      <c r="AR211" s="115"/>
      <c r="AS211" s="115"/>
      <c r="AT211" s="115"/>
      <c r="AU211" s="115"/>
      <c r="AV211" s="115"/>
    </row>
    <row r="212" spans="1:55" x14ac:dyDescent="0.2">
      <c r="A212" s="60"/>
      <c r="B212" s="115"/>
      <c r="C212" s="613"/>
      <c r="D212" s="613"/>
      <c r="E212" s="613"/>
      <c r="F212" s="613"/>
      <c r="G212" s="613"/>
      <c r="H212" s="613"/>
      <c r="I212" s="613"/>
      <c r="J212" s="613"/>
      <c r="K212" s="613"/>
      <c r="L212" s="613"/>
      <c r="M212" s="613"/>
      <c r="N212" s="619"/>
      <c r="O212" s="619"/>
      <c r="P212" s="613"/>
      <c r="Q212" s="613"/>
      <c r="R212" s="613"/>
      <c r="S212" s="613"/>
      <c r="T212" s="613"/>
      <c r="U212" s="613"/>
      <c r="V212" s="619"/>
      <c r="W212" s="613"/>
      <c r="X212" s="613"/>
      <c r="Y212" s="613"/>
      <c r="Z212" s="613"/>
      <c r="AA212" s="613"/>
      <c r="AB212" s="613"/>
      <c r="AC212" s="613"/>
      <c r="AD212" s="613"/>
      <c r="AE212" s="613"/>
      <c r="AF212" s="470"/>
      <c r="AG212" s="470"/>
      <c r="AH212" s="114"/>
      <c r="AI212" s="114"/>
      <c r="AJ212" s="115"/>
      <c r="AK212" s="205"/>
      <c r="AL212" s="115"/>
      <c r="AM212" s="115"/>
      <c r="AN212" s="115"/>
      <c r="AO212" s="115"/>
      <c r="AP212" s="115"/>
      <c r="AQ212" s="115"/>
      <c r="AR212" s="115"/>
      <c r="AS212" s="115"/>
      <c r="AT212" s="115"/>
      <c r="AU212" s="115"/>
      <c r="AV212" s="115"/>
    </row>
    <row r="213" spans="1:55" x14ac:dyDescent="0.2">
      <c r="A213" s="60"/>
      <c r="B213" s="115"/>
      <c r="C213" s="613"/>
      <c r="D213" s="613"/>
      <c r="E213" s="613"/>
      <c r="F213" s="613"/>
      <c r="G213" s="613"/>
      <c r="H213" s="613"/>
      <c r="I213" s="613"/>
      <c r="J213" s="613"/>
      <c r="K213" s="613"/>
      <c r="L213" s="613"/>
      <c r="M213" s="613"/>
      <c r="N213" s="619"/>
      <c r="O213" s="619"/>
      <c r="P213" s="613"/>
      <c r="Q213" s="613"/>
      <c r="R213" s="613"/>
      <c r="S213" s="613"/>
      <c r="T213" s="613"/>
      <c r="U213" s="613"/>
      <c r="V213" s="619"/>
      <c r="W213" s="613"/>
      <c r="X213" s="613"/>
      <c r="Y213" s="613"/>
      <c r="Z213" s="613"/>
      <c r="AA213" s="613"/>
      <c r="AB213" s="613"/>
      <c r="AC213" s="613"/>
      <c r="AD213" s="613"/>
      <c r="AE213" s="613"/>
      <c r="AF213" s="114"/>
      <c r="AG213" s="114"/>
      <c r="AH213" s="114"/>
      <c r="AI213" s="114"/>
      <c r="AJ213" s="115"/>
      <c r="AK213" s="115"/>
      <c r="AL213" s="115"/>
      <c r="AM213" s="115"/>
      <c r="AN213" s="115"/>
      <c r="AO213" s="115"/>
      <c r="AP213" s="115"/>
      <c r="AQ213" s="115"/>
      <c r="AR213" s="115"/>
      <c r="AS213" s="115"/>
      <c r="AT213" s="115"/>
      <c r="AU213" s="115"/>
      <c r="AV213" s="115"/>
    </row>
    <row r="214" spans="1:55" x14ac:dyDescent="0.2">
      <c r="A214" s="60"/>
      <c r="B214" s="115"/>
      <c r="C214" s="613"/>
      <c r="D214" s="613"/>
      <c r="E214" s="613"/>
      <c r="F214" s="613"/>
      <c r="G214" s="613"/>
      <c r="H214" s="613"/>
      <c r="I214" s="613"/>
      <c r="J214" s="613"/>
      <c r="K214" s="613"/>
      <c r="L214" s="613"/>
      <c r="M214" s="613"/>
      <c r="N214" s="619"/>
      <c r="O214" s="619"/>
      <c r="P214" s="613"/>
      <c r="Q214" s="613"/>
      <c r="R214" s="613"/>
      <c r="S214" s="613"/>
      <c r="T214" s="613"/>
      <c r="U214" s="614"/>
      <c r="V214" s="615"/>
      <c r="W214" s="614"/>
      <c r="X214" s="614"/>
      <c r="Y214" s="614"/>
      <c r="Z214" s="614"/>
      <c r="AA214" s="614"/>
      <c r="AB214" s="614"/>
      <c r="AC214" s="613"/>
      <c r="AD214" s="613"/>
      <c r="AE214" s="613"/>
      <c r="AF214" s="114"/>
      <c r="AG214" s="114"/>
      <c r="AH214" s="114"/>
      <c r="AI214" s="114"/>
      <c r="AJ214" s="115"/>
      <c r="AK214" s="115"/>
      <c r="AL214" s="115"/>
      <c r="AM214" s="115"/>
      <c r="AN214" s="115"/>
      <c r="AO214" s="115"/>
      <c r="AP214" s="115"/>
      <c r="AQ214" s="115"/>
      <c r="AR214" s="115"/>
      <c r="AS214" s="115"/>
      <c r="AT214" s="115"/>
      <c r="AU214" s="115"/>
      <c r="AV214" s="115"/>
    </row>
    <row r="215" spans="1:55" x14ac:dyDescent="0.2">
      <c r="A215" s="60"/>
      <c r="B215" s="115"/>
      <c r="C215" s="613"/>
      <c r="D215" s="613"/>
      <c r="E215" s="613"/>
      <c r="F215" s="613"/>
      <c r="G215" s="613"/>
      <c r="H215" s="613"/>
      <c r="I215" s="613"/>
      <c r="J215" s="613"/>
      <c r="K215" s="613"/>
      <c r="L215" s="613"/>
      <c r="M215" s="613"/>
      <c r="N215" s="619"/>
      <c r="O215" s="619"/>
      <c r="P215" s="613"/>
      <c r="Q215" s="613"/>
      <c r="R215" s="613"/>
      <c r="S215" s="613"/>
      <c r="T215" s="613"/>
      <c r="U215" s="614"/>
      <c r="V215" s="615"/>
      <c r="W215" s="614"/>
      <c r="X215" s="614"/>
      <c r="Y215" s="614"/>
      <c r="Z215" s="614"/>
      <c r="AA215" s="614"/>
      <c r="AB215" s="614"/>
      <c r="AC215" s="613"/>
      <c r="AD215" s="613"/>
      <c r="AE215" s="613"/>
      <c r="AF215" s="542"/>
      <c r="AG215" s="542"/>
      <c r="AH215" s="114"/>
      <c r="AI215" s="114"/>
      <c r="AJ215" s="115"/>
      <c r="AK215" s="115"/>
      <c r="AL215" s="115"/>
      <c r="AM215" s="115"/>
      <c r="AN215" s="115"/>
      <c r="AO215" s="115"/>
      <c r="AP215" s="115"/>
      <c r="AQ215" s="115"/>
      <c r="AR215" s="115"/>
      <c r="AS215" s="115"/>
      <c r="AT215" s="115"/>
      <c r="AU215" s="115"/>
      <c r="AV215" s="115"/>
    </row>
    <row r="216" spans="1:55" x14ac:dyDescent="0.2">
      <c r="A216" s="60"/>
      <c r="B216" s="115"/>
      <c r="C216" s="613"/>
      <c r="D216" s="613"/>
      <c r="E216" s="613"/>
      <c r="F216" s="613"/>
      <c r="G216" s="613"/>
      <c r="H216" s="613"/>
      <c r="I216" s="613"/>
      <c r="J216" s="613"/>
      <c r="K216" s="613"/>
      <c r="L216" s="613"/>
      <c r="M216" s="613"/>
      <c r="N216" s="619"/>
      <c r="O216" s="619"/>
      <c r="P216" s="613"/>
      <c r="Q216" s="613"/>
      <c r="R216" s="613"/>
      <c r="S216" s="613"/>
      <c r="T216" s="613"/>
      <c r="U216" s="614"/>
      <c r="V216" s="615"/>
      <c r="W216" s="614"/>
      <c r="X216" s="614"/>
      <c r="Y216" s="614"/>
      <c r="Z216" s="614"/>
      <c r="AA216" s="614"/>
      <c r="AB216" s="614"/>
      <c r="AC216" s="613"/>
      <c r="AD216" s="613"/>
      <c r="AE216" s="613"/>
      <c r="AF216" s="114"/>
      <c r="AG216" s="114"/>
      <c r="AH216" s="114"/>
      <c r="AI216" s="114"/>
      <c r="AJ216" s="115"/>
      <c r="AK216" s="115"/>
      <c r="AL216" s="115"/>
      <c r="AM216" s="115"/>
      <c r="AN216" s="115"/>
      <c r="AO216" s="115"/>
      <c r="AP216" s="115"/>
      <c r="AQ216" s="115"/>
      <c r="AR216" s="115"/>
      <c r="AS216" s="115"/>
      <c r="AT216" s="115"/>
      <c r="AU216" s="115"/>
      <c r="AV216" s="115"/>
    </row>
    <row r="217" spans="1:55" x14ac:dyDescent="0.2">
      <c r="A217" s="60"/>
      <c r="B217" s="115"/>
      <c r="C217" s="613"/>
      <c r="D217" s="613"/>
      <c r="E217" s="613"/>
      <c r="F217" s="613"/>
      <c r="G217" s="613"/>
      <c r="H217" s="613"/>
      <c r="I217" s="613"/>
      <c r="J217" s="613"/>
      <c r="K217" s="613"/>
      <c r="L217" s="613"/>
      <c r="M217" s="613"/>
      <c r="N217" s="619"/>
      <c r="O217" s="619"/>
      <c r="P217" s="613"/>
      <c r="Q217" s="613"/>
      <c r="R217" s="613"/>
      <c r="S217" s="613"/>
      <c r="T217" s="613"/>
      <c r="U217" s="614"/>
      <c r="V217" s="615"/>
      <c r="W217" s="614"/>
      <c r="X217" s="614"/>
      <c r="Y217" s="614"/>
      <c r="Z217" s="614"/>
      <c r="AA217" s="614"/>
      <c r="AB217" s="614"/>
      <c r="AC217" s="613"/>
      <c r="AD217" s="613"/>
      <c r="AE217" s="613"/>
      <c r="AF217" s="114"/>
      <c r="AG217" s="114"/>
      <c r="AH217" s="114"/>
      <c r="AI217" s="114"/>
      <c r="AJ217" s="115"/>
      <c r="AK217" s="115"/>
      <c r="AL217" s="115"/>
      <c r="AM217" s="115"/>
      <c r="AN217" s="115"/>
      <c r="AO217" s="115"/>
      <c r="AP217" s="115"/>
      <c r="AQ217" s="115"/>
      <c r="AR217" s="115"/>
      <c r="AS217" s="115"/>
      <c r="AT217" s="115"/>
      <c r="AU217" s="115"/>
      <c r="AV217" s="115"/>
    </row>
    <row r="218" spans="1:55" ht="13.6" x14ac:dyDescent="0.25">
      <c r="A218" s="60"/>
      <c r="B218" s="115"/>
      <c r="C218" s="613"/>
      <c r="D218" s="613"/>
      <c r="E218" s="613"/>
      <c r="F218" s="613"/>
      <c r="G218" s="613"/>
      <c r="H218" s="613"/>
      <c r="I218" s="613"/>
      <c r="J218" s="613"/>
      <c r="K218" s="613"/>
      <c r="L218" s="613"/>
      <c r="M218" s="613"/>
      <c r="N218" s="619"/>
      <c r="O218" s="619"/>
      <c r="P218" s="622"/>
      <c r="Q218" s="613"/>
      <c r="R218" s="613"/>
      <c r="S218" s="613"/>
      <c r="T218" s="613"/>
      <c r="U218" s="614"/>
      <c r="V218" s="615"/>
      <c r="W218" s="614"/>
      <c r="X218" s="614"/>
      <c r="Y218" s="614"/>
      <c r="Z218" s="614"/>
      <c r="AA218" s="614"/>
      <c r="AB218" s="614"/>
      <c r="AC218" s="613"/>
      <c r="AD218" s="613"/>
      <c r="AE218" s="613"/>
      <c r="AF218" s="114"/>
      <c r="AG218" s="114"/>
      <c r="AH218" s="114"/>
      <c r="AI218" s="114"/>
      <c r="AJ218" s="115"/>
      <c r="AK218" s="115"/>
      <c r="AL218" s="115"/>
      <c r="AM218" s="115"/>
      <c r="AN218" s="115"/>
      <c r="AO218" s="115"/>
      <c r="AP218" s="115"/>
      <c r="AQ218" s="115"/>
      <c r="AR218" s="115"/>
      <c r="AS218" s="115"/>
      <c r="AT218" s="115"/>
      <c r="AU218" s="115"/>
      <c r="AV218" s="115"/>
    </row>
    <row r="219" spans="1:55" x14ac:dyDescent="0.2">
      <c r="A219" s="60"/>
      <c r="B219" s="115"/>
      <c r="C219" s="613"/>
      <c r="D219" s="613"/>
      <c r="E219" s="613"/>
      <c r="F219" s="613"/>
      <c r="G219" s="613"/>
      <c r="H219" s="613"/>
      <c r="I219" s="613"/>
      <c r="J219" s="613"/>
      <c r="K219" s="613"/>
      <c r="L219" s="613"/>
      <c r="M219" s="613"/>
      <c r="N219" s="619"/>
      <c r="O219" s="619"/>
      <c r="P219" s="613"/>
      <c r="Q219" s="613"/>
      <c r="R219" s="613"/>
      <c r="S219" s="613"/>
      <c r="T219" s="613"/>
      <c r="U219" s="614"/>
      <c r="V219" s="615"/>
      <c r="W219" s="614"/>
      <c r="X219" s="614"/>
      <c r="Y219" s="614"/>
      <c r="Z219" s="614"/>
      <c r="AA219" s="614"/>
      <c r="AB219" s="614"/>
      <c r="AC219" s="613"/>
      <c r="AD219" s="613"/>
      <c r="AE219" s="613"/>
      <c r="AF219" s="114"/>
      <c r="AG219" s="114"/>
      <c r="AH219" s="114"/>
      <c r="AI219" s="114"/>
      <c r="AJ219" s="115"/>
      <c r="AK219" s="115"/>
      <c r="AL219" s="115"/>
      <c r="AM219" s="115"/>
      <c r="AN219" s="115"/>
      <c r="AO219" s="115"/>
      <c r="AP219" s="115"/>
      <c r="AQ219" s="115"/>
      <c r="AR219" s="115"/>
      <c r="AS219" s="115"/>
      <c r="AT219" s="115"/>
      <c r="AU219" s="115"/>
      <c r="AV219" s="115"/>
    </row>
    <row r="220" spans="1:55" x14ac:dyDescent="0.2">
      <c r="A220" s="60"/>
      <c r="B220" s="115"/>
      <c r="C220" s="613"/>
      <c r="D220" s="613"/>
      <c r="E220" s="613"/>
      <c r="F220" s="613"/>
      <c r="G220" s="613"/>
      <c r="H220" s="613"/>
      <c r="I220" s="613"/>
      <c r="J220" s="613"/>
      <c r="K220" s="613"/>
      <c r="L220" s="613"/>
      <c r="M220" s="613"/>
      <c r="N220" s="619"/>
      <c r="O220" s="619"/>
      <c r="P220" s="613"/>
      <c r="Q220" s="613"/>
      <c r="R220" s="613"/>
      <c r="S220" s="613"/>
      <c r="T220" s="613"/>
      <c r="U220" s="614"/>
      <c r="V220" s="615"/>
      <c r="W220" s="614"/>
      <c r="X220" s="614"/>
      <c r="Y220" s="614"/>
      <c r="Z220" s="614"/>
      <c r="AA220" s="614"/>
      <c r="AB220" s="614"/>
      <c r="AC220" s="613"/>
      <c r="AD220" s="613"/>
      <c r="AE220" s="613"/>
      <c r="AF220" s="114"/>
      <c r="AG220" s="114"/>
      <c r="AH220" s="114"/>
      <c r="AI220" s="114"/>
      <c r="AJ220" s="115"/>
      <c r="AK220" s="115"/>
      <c r="AL220" s="115"/>
      <c r="AM220" s="115"/>
      <c r="AN220" s="115"/>
      <c r="AO220" s="115"/>
      <c r="AP220" s="115"/>
      <c r="AQ220" s="115"/>
      <c r="AR220" s="115"/>
      <c r="AS220" s="115"/>
      <c r="AT220" s="115"/>
      <c r="AU220" s="115"/>
      <c r="AV220" s="115"/>
    </row>
    <row r="221" spans="1:55" x14ac:dyDescent="0.2">
      <c r="A221" s="60"/>
      <c r="B221" s="115"/>
      <c r="C221" s="613"/>
      <c r="D221" s="613"/>
      <c r="E221" s="613"/>
      <c r="F221" s="613"/>
      <c r="G221" s="613"/>
      <c r="H221" s="613"/>
      <c r="I221" s="613"/>
      <c r="J221" s="613"/>
      <c r="K221" s="613"/>
      <c r="L221" s="613"/>
      <c r="M221" s="613"/>
      <c r="N221" s="619"/>
      <c r="O221" s="619"/>
      <c r="P221" s="613"/>
      <c r="Q221" s="613"/>
      <c r="R221" s="613"/>
      <c r="S221" s="613"/>
      <c r="T221" s="613"/>
      <c r="U221" s="614"/>
      <c r="V221" s="615"/>
      <c r="W221" s="614"/>
      <c r="X221" s="614"/>
      <c r="Y221" s="614"/>
      <c r="Z221" s="614"/>
      <c r="AA221" s="614"/>
      <c r="AB221" s="614"/>
      <c r="AC221" s="613"/>
      <c r="AD221" s="613"/>
      <c r="AE221" s="613"/>
      <c r="AF221" s="114"/>
      <c r="AG221" s="114"/>
      <c r="AH221" s="114"/>
      <c r="AI221" s="114"/>
      <c r="AJ221" s="115"/>
      <c r="AK221" s="115"/>
      <c r="AL221" s="115"/>
      <c r="AM221" s="115"/>
      <c r="AN221" s="115"/>
      <c r="AO221" s="115"/>
      <c r="AP221" s="115"/>
      <c r="AQ221" s="115"/>
      <c r="AR221" s="115"/>
      <c r="AS221" s="115"/>
      <c r="AT221" s="115"/>
      <c r="AU221" s="115"/>
      <c r="AV221" s="115"/>
    </row>
    <row r="222" spans="1:55" x14ac:dyDescent="0.2">
      <c r="A222" s="60"/>
      <c r="B222" s="115"/>
      <c r="C222" s="613"/>
      <c r="D222" s="613"/>
      <c r="E222" s="613"/>
      <c r="F222" s="613"/>
      <c r="G222" s="613"/>
      <c r="H222" s="613"/>
      <c r="I222" s="613"/>
      <c r="J222" s="613"/>
      <c r="K222" s="613"/>
      <c r="L222" s="613"/>
      <c r="M222" s="613"/>
      <c r="N222" s="619"/>
      <c r="O222" s="619"/>
      <c r="P222" s="613"/>
      <c r="Q222" s="613"/>
      <c r="R222" s="613"/>
      <c r="S222" s="613"/>
      <c r="T222" s="613"/>
      <c r="U222" s="614"/>
      <c r="V222" s="615"/>
      <c r="W222" s="614"/>
      <c r="X222" s="614"/>
      <c r="Y222" s="614"/>
      <c r="Z222" s="614"/>
      <c r="AA222" s="614"/>
      <c r="AB222" s="614"/>
      <c r="AC222" s="613"/>
      <c r="AD222" s="613"/>
      <c r="AE222" s="613"/>
      <c r="AF222" s="114"/>
      <c r="AG222" s="114"/>
      <c r="AH222" s="114"/>
      <c r="AI222" s="114"/>
      <c r="AJ222" s="115"/>
      <c r="AK222" s="115"/>
      <c r="AL222" s="115"/>
      <c r="AM222" s="115"/>
      <c r="AN222" s="115"/>
      <c r="AO222" s="115"/>
      <c r="AP222" s="115"/>
      <c r="AQ222" s="115"/>
      <c r="AR222" s="115"/>
      <c r="AS222" s="115"/>
      <c r="AT222" s="115"/>
      <c r="AU222" s="115"/>
      <c r="AV222" s="115"/>
    </row>
    <row r="223" spans="1:55" x14ac:dyDescent="0.2">
      <c r="A223" s="60"/>
      <c r="B223" s="115"/>
      <c r="C223" s="614"/>
      <c r="D223" s="614"/>
      <c r="E223" s="614"/>
      <c r="F223" s="614"/>
      <c r="G223" s="614"/>
      <c r="H223" s="614"/>
      <c r="I223" s="614"/>
      <c r="J223" s="614"/>
      <c r="K223" s="614"/>
      <c r="L223" s="614"/>
      <c r="M223" s="614"/>
      <c r="N223" s="615"/>
      <c r="O223" s="615"/>
      <c r="P223" s="614"/>
      <c r="Q223" s="614"/>
      <c r="R223" s="614"/>
      <c r="S223" s="614"/>
      <c r="T223" s="613"/>
      <c r="U223" s="614"/>
      <c r="V223" s="615"/>
      <c r="W223" s="614"/>
      <c r="X223" s="614"/>
      <c r="Y223" s="614"/>
      <c r="Z223" s="614"/>
      <c r="AA223" s="614"/>
      <c r="AB223" s="614"/>
      <c r="AC223" s="613"/>
      <c r="AD223" s="613"/>
      <c r="AE223" s="613"/>
      <c r="AF223" s="114"/>
      <c r="AG223" s="114"/>
      <c r="AH223" s="114"/>
      <c r="AI223" s="114"/>
      <c r="AJ223" s="115"/>
      <c r="AK223" s="115"/>
      <c r="AL223" s="115"/>
      <c r="AM223" s="115"/>
      <c r="AN223" s="115"/>
      <c r="AO223" s="115"/>
      <c r="AP223" s="115"/>
      <c r="AQ223" s="115"/>
      <c r="AR223" s="115"/>
      <c r="AS223" s="115"/>
      <c r="AT223" s="115"/>
      <c r="AU223" s="115"/>
      <c r="AV223" s="115"/>
    </row>
    <row r="224" spans="1:55" x14ac:dyDescent="0.2">
      <c r="A224" s="60"/>
      <c r="B224" s="115"/>
      <c r="C224" s="614"/>
      <c r="D224" s="614"/>
      <c r="E224" s="614"/>
      <c r="F224" s="614"/>
      <c r="G224" s="614"/>
      <c r="H224" s="614"/>
      <c r="I224" s="614"/>
      <c r="J224" s="614"/>
      <c r="K224" s="614"/>
      <c r="L224" s="614"/>
      <c r="M224" s="614"/>
      <c r="N224" s="615"/>
      <c r="O224" s="615"/>
      <c r="P224" s="614"/>
      <c r="Q224" s="614"/>
      <c r="R224" s="614"/>
      <c r="S224" s="614"/>
      <c r="T224" s="613"/>
      <c r="U224" s="614"/>
      <c r="V224" s="615"/>
      <c r="W224" s="614"/>
      <c r="X224" s="614"/>
      <c r="Y224" s="614"/>
      <c r="Z224" s="614"/>
      <c r="AA224" s="614"/>
      <c r="AB224" s="614"/>
      <c r="AC224" s="613"/>
      <c r="AD224" s="613"/>
      <c r="AE224" s="613"/>
      <c r="AF224" s="114"/>
      <c r="AG224" s="114"/>
      <c r="AH224" s="114"/>
      <c r="AI224" s="114"/>
      <c r="AJ224" s="115"/>
      <c r="AK224" s="115"/>
      <c r="AL224" s="115"/>
      <c r="AM224" s="115"/>
      <c r="AN224" s="115"/>
      <c r="AO224" s="115"/>
      <c r="AP224" s="115"/>
      <c r="AQ224" s="115"/>
      <c r="AR224" s="115"/>
      <c r="AS224" s="115"/>
      <c r="AT224" s="115"/>
      <c r="AU224" s="115"/>
      <c r="AV224" s="115"/>
    </row>
    <row r="225" spans="1:55" x14ac:dyDescent="0.2">
      <c r="A225" s="60"/>
      <c r="B225" s="115"/>
      <c r="C225" s="614"/>
      <c r="D225" s="614"/>
      <c r="E225" s="614"/>
      <c r="F225" s="614"/>
      <c r="G225" s="614"/>
      <c r="H225" s="614"/>
      <c r="I225" s="614"/>
      <c r="J225" s="614"/>
      <c r="K225" s="614"/>
      <c r="L225" s="614"/>
      <c r="M225" s="614"/>
      <c r="N225" s="615"/>
      <c r="O225" s="615"/>
      <c r="P225" s="614"/>
      <c r="Q225" s="614"/>
      <c r="R225" s="614"/>
      <c r="S225" s="614"/>
      <c r="T225" s="613"/>
      <c r="U225" s="614"/>
      <c r="V225" s="615"/>
      <c r="W225" s="614"/>
      <c r="X225" s="614"/>
      <c r="Y225" s="614"/>
      <c r="Z225" s="614"/>
      <c r="AA225" s="614"/>
      <c r="AB225" s="614"/>
      <c r="AC225" s="613"/>
      <c r="AD225" s="613"/>
      <c r="AE225" s="613"/>
      <c r="AF225" s="114"/>
      <c r="AG225" s="114"/>
      <c r="AH225" s="114"/>
      <c r="AI225" s="114"/>
      <c r="AJ225" s="115"/>
      <c r="AK225" s="115"/>
      <c r="AL225" s="115"/>
      <c r="AM225" s="115"/>
      <c r="AN225" s="115"/>
      <c r="AO225" s="115"/>
      <c r="AP225" s="115"/>
      <c r="AQ225" s="115"/>
      <c r="AR225" s="115"/>
      <c r="AS225" s="115"/>
      <c r="AT225" s="115"/>
      <c r="AU225" s="115"/>
      <c r="AV225" s="115"/>
    </row>
    <row r="226" spans="1:55" ht="13.6" x14ac:dyDescent="0.25">
      <c r="A226" s="60"/>
      <c r="B226" s="115"/>
      <c r="C226" s="614"/>
      <c r="D226" s="614"/>
      <c r="E226" s="614"/>
      <c r="F226" s="614"/>
      <c r="G226" s="614"/>
      <c r="H226" s="614"/>
      <c r="I226" s="614"/>
      <c r="J226" s="614"/>
      <c r="K226" s="614"/>
      <c r="L226" s="614"/>
      <c r="M226" s="614"/>
      <c r="N226" s="615"/>
      <c r="O226" s="615"/>
      <c r="P226" s="614"/>
      <c r="Q226" s="614"/>
      <c r="R226" s="614"/>
      <c r="S226" s="614"/>
      <c r="T226" s="613"/>
      <c r="U226" s="614"/>
      <c r="V226" s="615"/>
      <c r="W226" s="614"/>
      <c r="X226" s="614"/>
      <c r="Y226" s="614"/>
      <c r="Z226" s="614"/>
      <c r="AA226" s="614"/>
      <c r="AB226" s="614"/>
      <c r="AC226" s="613"/>
      <c r="AD226" s="613"/>
      <c r="AE226" s="613"/>
      <c r="AF226" s="114"/>
      <c r="AG226" s="114"/>
      <c r="AH226" s="543"/>
      <c r="AI226" s="114"/>
      <c r="AJ226" s="115"/>
      <c r="AK226" s="115"/>
      <c r="AL226" s="115"/>
      <c r="AM226" s="115"/>
      <c r="AN226" s="115"/>
      <c r="AO226" s="115"/>
      <c r="AP226" s="115"/>
      <c r="AQ226" s="115"/>
      <c r="AR226" s="115"/>
      <c r="AS226" s="115"/>
      <c r="AT226" s="115"/>
      <c r="AU226" s="115"/>
      <c r="AV226" s="115"/>
    </row>
    <row r="227" spans="1:55" x14ac:dyDescent="0.2">
      <c r="A227" s="60"/>
      <c r="B227" s="115"/>
      <c r="C227" s="614"/>
      <c r="D227" s="614"/>
      <c r="E227" s="614"/>
      <c r="F227" s="614"/>
      <c r="G227" s="614"/>
      <c r="H227" s="614"/>
      <c r="I227" s="614"/>
      <c r="J227" s="614"/>
      <c r="K227" s="614"/>
      <c r="L227" s="614"/>
      <c r="M227" s="614"/>
      <c r="N227" s="615"/>
      <c r="O227" s="615"/>
      <c r="P227" s="614"/>
      <c r="Q227" s="614"/>
      <c r="R227" s="614"/>
      <c r="S227" s="614"/>
      <c r="T227" s="613"/>
      <c r="U227" s="614"/>
      <c r="V227" s="615"/>
      <c r="W227" s="614"/>
      <c r="X227" s="614"/>
      <c r="Y227" s="614"/>
      <c r="Z227" s="614"/>
      <c r="AA227" s="614"/>
      <c r="AB227" s="614"/>
      <c r="AC227" s="613"/>
      <c r="AD227" s="613"/>
      <c r="AE227" s="613"/>
      <c r="AF227" s="114"/>
      <c r="AG227" s="114"/>
      <c r="AH227" s="114"/>
      <c r="AI227" s="544"/>
      <c r="AJ227" s="115"/>
      <c r="AK227" s="115"/>
      <c r="AL227" s="115"/>
      <c r="AM227" s="115"/>
      <c r="AN227" s="115"/>
      <c r="AO227" s="115"/>
      <c r="AP227" s="115"/>
      <c r="AQ227" s="115"/>
      <c r="AR227" s="115"/>
      <c r="AS227" s="115"/>
      <c r="AT227" s="115"/>
      <c r="AU227" s="115"/>
      <c r="AV227" s="115"/>
    </row>
    <row r="228" spans="1:55" ht="13.6" x14ac:dyDescent="0.25">
      <c r="A228" s="60"/>
      <c r="B228" s="115"/>
      <c r="C228" s="614"/>
      <c r="D228" s="614"/>
      <c r="E228" s="614"/>
      <c r="F228" s="614"/>
      <c r="G228" s="614"/>
      <c r="H228" s="614"/>
      <c r="I228" s="614"/>
      <c r="J228" s="614"/>
      <c r="K228" s="614"/>
      <c r="L228" s="614"/>
      <c r="M228" s="614"/>
      <c r="N228" s="615"/>
      <c r="O228" s="615"/>
      <c r="P228" s="614"/>
      <c r="Q228" s="614"/>
      <c r="R228" s="614"/>
      <c r="S228" s="614"/>
      <c r="T228" s="613"/>
      <c r="U228" s="614"/>
      <c r="V228" s="615"/>
      <c r="W228" s="614"/>
      <c r="X228" s="614"/>
      <c r="Y228" s="614"/>
      <c r="Z228" s="614"/>
      <c r="AA228" s="614"/>
      <c r="AB228" s="614"/>
      <c r="AC228" s="613"/>
      <c r="AD228" s="613"/>
      <c r="AE228" s="626"/>
      <c r="AF228" s="114"/>
      <c r="AG228" s="114"/>
      <c r="AH228" s="114"/>
      <c r="AI228" s="545"/>
      <c r="AJ228" s="199"/>
      <c r="AK228" s="115"/>
      <c r="AL228" s="115"/>
      <c r="AM228" s="115"/>
      <c r="AN228" s="115"/>
      <c r="AO228" s="115"/>
      <c r="AP228" s="115"/>
      <c r="AQ228" s="115"/>
      <c r="AR228" s="115"/>
      <c r="AS228" s="115"/>
      <c r="AT228" s="115"/>
      <c r="AU228" s="115"/>
      <c r="AV228" s="115"/>
    </row>
    <row r="229" spans="1:55" x14ac:dyDescent="0.2">
      <c r="A229" s="60"/>
      <c r="B229" s="115"/>
      <c r="C229" s="614"/>
      <c r="D229" s="614"/>
      <c r="E229" s="614"/>
      <c r="F229" s="614"/>
      <c r="G229" s="614"/>
      <c r="H229" s="614"/>
      <c r="I229" s="614"/>
      <c r="J229" s="614"/>
      <c r="K229" s="614"/>
      <c r="L229" s="614"/>
      <c r="M229" s="614"/>
      <c r="N229" s="615"/>
      <c r="O229" s="615"/>
      <c r="P229" s="614"/>
      <c r="Q229" s="614"/>
      <c r="R229" s="614"/>
      <c r="S229" s="614"/>
      <c r="T229" s="613"/>
      <c r="U229" s="614"/>
      <c r="V229" s="615"/>
      <c r="W229" s="614"/>
      <c r="X229" s="614"/>
      <c r="Y229" s="614"/>
      <c r="Z229" s="614"/>
      <c r="AA229" s="614"/>
      <c r="AB229" s="614"/>
      <c r="AC229" s="613"/>
      <c r="AD229" s="613"/>
      <c r="AE229" s="626"/>
      <c r="AF229" s="114"/>
      <c r="AG229" s="114"/>
      <c r="AH229" s="544"/>
      <c r="AI229" s="544"/>
      <c r="AJ229" s="115"/>
      <c r="AK229" s="115"/>
      <c r="AL229" s="115"/>
      <c r="AM229" s="115"/>
      <c r="AN229" s="115"/>
      <c r="AO229" s="115"/>
      <c r="AP229" s="115"/>
      <c r="AQ229" s="115"/>
      <c r="AR229" s="115"/>
      <c r="AS229" s="115"/>
      <c r="AT229" s="115"/>
      <c r="AU229" s="115"/>
      <c r="AV229" s="115"/>
    </row>
    <row r="230" spans="1:55" x14ac:dyDescent="0.2">
      <c r="A230" s="60"/>
      <c r="B230" s="115"/>
      <c r="C230" s="614"/>
      <c r="D230" s="614"/>
      <c r="E230" s="614"/>
      <c r="F230" s="614"/>
      <c r="G230" s="614"/>
      <c r="H230" s="614"/>
      <c r="I230" s="614"/>
      <c r="J230" s="614"/>
      <c r="K230" s="614"/>
      <c r="L230" s="614"/>
      <c r="M230" s="614"/>
      <c r="N230" s="615"/>
      <c r="O230" s="615"/>
      <c r="P230" s="614"/>
      <c r="Q230" s="614"/>
      <c r="R230" s="614"/>
      <c r="S230" s="614"/>
      <c r="T230" s="613"/>
      <c r="U230" s="614"/>
      <c r="V230" s="615"/>
      <c r="W230" s="614"/>
      <c r="X230" s="614"/>
      <c r="Y230" s="614"/>
      <c r="Z230" s="614"/>
      <c r="AA230" s="614"/>
      <c r="AB230" s="614"/>
      <c r="AC230" s="613"/>
      <c r="AD230" s="613"/>
      <c r="AE230" s="626"/>
      <c r="AF230" s="114"/>
      <c r="AG230" s="114"/>
      <c r="AH230" s="544"/>
      <c r="AI230" s="544"/>
      <c r="AJ230" s="115"/>
      <c r="AK230" s="115"/>
      <c r="AL230" s="115"/>
      <c r="AM230" s="115"/>
      <c r="AN230" s="115"/>
      <c r="AO230" s="115"/>
      <c r="AP230" s="115"/>
      <c r="AQ230" s="115"/>
      <c r="AR230" s="115"/>
      <c r="AS230" s="115"/>
      <c r="AT230" s="115"/>
      <c r="AU230" s="115"/>
      <c r="AV230" s="115"/>
    </row>
    <row r="231" spans="1:55" s="4" customFormat="1" ht="13.6" x14ac:dyDescent="0.25">
      <c r="A231" s="60"/>
      <c r="B231" s="115"/>
      <c r="C231" s="614"/>
      <c r="D231" s="614"/>
      <c r="E231" s="614"/>
      <c r="F231" s="614"/>
      <c r="G231" s="614"/>
      <c r="H231" s="614"/>
      <c r="I231" s="614"/>
      <c r="J231" s="614"/>
      <c r="K231" s="614"/>
      <c r="L231" s="614"/>
      <c r="M231" s="614"/>
      <c r="N231" s="615"/>
      <c r="O231" s="615"/>
      <c r="P231" s="614"/>
      <c r="Q231" s="614"/>
      <c r="R231" s="614"/>
      <c r="S231" s="614"/>
      <c r="T231" s="613"/>
      <c r="U231" s="614"/>
      <c r="V231" s="615"/>
      <c r="W231" s="614"/>
      <c r="X231" s="614"/>
      <c r="Y231" s="614"/>
      <c r="Z231" s="614"/>
      <c r="AA231" s="614"/>
      <c r="AB231" s="614"/>
      <c r="AC231" s="613"/>
      <c r="AD231" s="613"/>
      <c r="AE231" s="613"/>
      <c r="AF231" s="114"/>
      <c r="AG231" s="114"/>
      <c r="AH231" s="544"/>
      <c r="AI231" s="544"/>
      <c r="AJ231" s="115"/>
      <c r="AK231" s="199"/>
      <c r="AL231" s="199"/>
      <c r="AM231" s="199"/>
      <c r="AN231" s="199"/>
      <c r="AO231" s="199"/>
      <c r="AP231" s="199"/>
      <c r="AQ231" s="199"/>
      <c r="AR231" s="199"/>
      <c r="AS231" s="199"/>
      <c r="AT231" s="199"/>
      <c r="AU231" s="199"/>
      <c r="AV231" s="199"/>
      <c r="AW231" s="200"/>
      <c r="AX231" s="200"/>
      <c r="AY231" s="200"/>
      <c r="AZ231" s="200"/>
      <c r="BA231" s="200"/>
      <c r="BB231" s="200"/>
      <c r="BC231" s="200"/>
    </row>
    <row r="232" spans="1:55" ht="13.6" x14ac:dyDescent="0.25">
      <c r="A232" s="60"/>
      <c r="B232" s="115"/>
      <c r="C232" s="614"/>
      <c r="D232" s="614"/>
      <c r="E232" s="614"/>
      <c r="F232" s="614"/>
      <c r="G232" s="614"/>
      <c r="H232" s="614"/>
      <c r="I232" s="614"/>
      <c r="J232" s="614"/>
      <c r="K232" s="614"/>
      <c r="L232" s="614"/>
      <c r="M232" s="614"/>
      <c r="N232" s="615"/>
      <c r="O232" s="615"/>
      <c r="P232" s="614"/>
      <c r="Q232" s="614"/>
      <c r="R232" s="614"/>
      <c r="S232" s="614"/>
      <c r="T232" s="613"/>
      <c r="U232" s="614"/>
      <c r="V232" s="615"/>
      <c r="W232" s="614"/>
      <c r="X232" s="614"/>
      <c r="Y232" s="614"/>
      <c r="Z232" s="614"/>
      <c r="AA232" s="614"/>
      <c r="AB232" s="614"/>
      <c r="AC232" s="613"/>
      <c r="AD232" s="613"/>
      <c r="AE232" s="622"/>
      <c r="AF232" s="114"/>
      <c r="AG232" s="114"/>
      <c r="AH232" s="544"/>
      <c r="AI232" s="544"/>
      <c r="AJ232" s="115"/>
      <c r="AK232" s="115"/>
      <c r="AL232" s="115"/>
      <c r="AM232" s="115"/>
      <c r="AN232" s="115"/>
      <c r="AO232" s="115"/>
      <c r="AP232" s="115"/>
      <c r="AQ232" s="115"/>
      <c r="AR232" s="115"/>
      <c r="AS232" s="115"/>
      <c r="AT232" s="115"/>
      <c r="AU232" s="115"/>
      <c r="AV232" s="115"/>
    </row>
    <row r="233" spans="1:55" ht="13.6" x14ac:dyDescent="0.25">
      <c r="A233" s="102"/>
      <c r="B233" s="115"/>
      <c r="C233" s="614"/>
      <c r="D233" s="614"/>
      <c r="E233" s="614"/>
      <c r="F233" s="614"/>
      <c r="G233" s="614"/>
      <c r="H233" s="614"/>
      <c r="I233" s="614"/>
      <c r="J233" s="614"/>
      <c r="K233" s="614"/>
      <c r="L233" s="614"/>
      <c r="M233" s="614"/>
      <c r="N233" s="615"/>
      <c r="O233" s="615"/>
      <c r="P233" s="614"/>
      <c r="Q233" s="614"/>
      <c r="R233" s="614"/>
      <c r="S233" s="614"/>
      <c r="T233" s="613"/>
      <c r="U233" s="614"/>
      <c r="V233" s="615"/>
      <c r="W233" s="614"/>
      <c r="X233" s="614"/>
      <c r="Y233" s="614"/>
      <c r="Z233" s="614"/>
      <c r="AA233" s="614"/>
      <c r="AB233" s="614"/>
      <c r="AC233" s="613"/>
      <c r="AD233" s="613"/>
      <c r="AE233" s="613"/>
      <c r="AF233" s="114"/>
      <c r="AG233" s="114"/>
      <c r="AH233" s="544"/>
      <c r="AI233" s="544"/>
      <c r="AJ233" s="115"/>
      <c r="AK233" s="115"/>
      <c r="AL233" s="115"/>
      <c r="AM233" s="115"/>
      <c r="AN233" s="115"/>
      <c r="AO233" s="115"/>
      <c r="AP233" s="115"/>
      <c r="AQ233" s="115"/>
      <c r="AR233" s="115"/>
      <c r="AS233" s="115"/>
      <c r="AT233" s="115"/>
      <c r="AU233" s="115"/>
      <c r="AV233" s="115"/>
    </row>
    <row r="234" spans="1:55" ht="13.6" x14ac:dyDescent="0.25">
      <c r="A234" s="60"/>
      <c r="B234" s="115"/>
      <c r="C234" s="614"/>
      <c r="D234" s="614"/>
      <c r="E234" s="614"/>
      <c r="F234" s="614"/>
      <c r="G234" s="614"/>
      <c r="H234" s="614"/>
      <c r="I234" s="614"/>
      <c r="J234" s="614"/>
      <c r="K234" s="614"/>
      <c r="L234" s="614"/>
      <c r="M234" s="614"/>
      <c r="N234" s="615"/>
      <c r="O234" s="615"/>
      <c r="P234" s="614"/>
      <c r="Q234" s="614"/>
      <c r="R234" s="614"/>
      <c r="S234" s="614"/>
      <c r="T234" s="613"/>
      <c r="U234" s="614"/>
      <c r="V234" s="615"/>
      <c r="W234" s="614"/>
      <c r="X234" s="614"/>
      <c r="Y234" s="614"/>
      <c r="Z234" s="614"/>
      <c r="AA234" s="614"/>
      <c r="AB234" s="614"/>
      <c r="AC234" s="613"/>
      <c r="AD234" s="613"/>
      <c r="AE234" s="613"/>
      <c r="AF234" s="543"/>
      <c r="AG234" s="543"/>
      <c r="AH234" s="544"/>
      <c r="AI234" s="544"/>
      <c r="AJ234" s="115"/>
      <c r="AK234" s="115"/>
      <c r="AL234" s="115"/>
      <c r="AM234" s="115"/>
      <c r="AN234" s="115"/>
      <c r="AO234" s="115"/>
      <c r="AP234" s="115"/>
      <c r="AQ234" s="115"/>
      <c r="AR234" s="115"/>
      <c r="AS234" s="115"/>
      <c r="AT234" s="115"/>
      <c r="AU234" s="115"/>
      <c r="AV234" s="115"/>
    </row>
    <row r="235" spans="1:55" ht="13.6" x14ac:dyDescent="0.25">
      <c r="A235" s="60"/>
      <c r="B235" s="115"/>
      <c r="C235" s="614"/>
      <c r="D235" s="614"/>
      <c r="E235" s="614"/>
      <c r="F235" s="614"/>
      <c r="G235" s="614"/>
      <c r="H235" s="614"/>
      <c r="I235" s="614"/>
      <c r="J235" s="614"/>
      <c r="K235" s="614"/>
      <c r="L235" s="614"/>
      <c r="M235" s="614"/>
      <c r="N235" s="615"/>
      <c r="O235" s="615"/>
      <c r="P235" s="614"/>
      <c r="Q235" s="614"/>
      <c r="R235" s="614"/>
      <c r="S235" s="614"/>
      <c r="T235" s="613"/>
      <c r="U235" s="614"/>
      <c r="V235" s="615"/>
      <c r="W235" s="614"/>
      <c r="X235" s="614"/>
      <c r="Y235" s="614"/>
      <c r="Z235" s="614"/>
      <c r="AA235" s="614"/>
      <c r="AB235" s="614"/>
      <c r="AC235" s="622"/>
      <c r="AD235" s="614"/>
      <c r="AE235" s="613"/>
      <c r="AF235" s="114"/>
      <c r="AG235" s="114"/>
      <c r="AH235" s="544"/>
      <c r="AI235" s="544"/>
      <c r="AJ235" s="115"/>
      <c r="AK235" s="115"/>
      <c r="AL235" s="115"/>
      <c r="AM235" s="115"/>
      <c r="AN235" s="115"/>
      <c r="AO235" s="115"/>
      <c r="AP235" s="115"/>
      <c r="AQ235" s="115"/>
      <c r="AR235" s="115"/>
      <c r="AS235" s="115"/>
      <c r="AT235" s="115"/>
      <c r="AU235" s="115"/>
      <c r="AV235" s="115"/>
    </row>
    <row r="236" spans="1:55" x14ac:dyDescent="0.2">
      <c r="A236" s="60"/>
      <c r="B236" s="115"/>
      <c r="C236" s="614"/>
      <c r="D236" s="614"/>
      <c r="E236" s="614"/>
      <c r="F236" s="614"/>
      <c r="G236" s="614"/>
      <c r="H236" s="614"/>
      <c r="I236" s="614"/>
      <c r="J236" s="614"/>
      <c r="K236" s="614"/>
      <c r="L236" s="614"/>
      <c r="M236" s="614"/>
      <c r="N236" s="615"/>
      <c r="O236" s="615"/>
      <c r="P236" s="614"/>
      <c r="Q236" s="614"/>
      <c r="R236" s="614"/>
      <c r="S236" s="614"/>
      <c r="T236" s="613"/>
      <c r="U236" s="614"/>
      <c r="V236" s="615"/>
      <c r="W236" s="614"/>
      <c r="X236" s="614"/>
      <c r="Y236" s="614"/>
      <c r="Z236" s="614"/>
      <c r="AA236" s="614"/>
      <c r="AB236" s="614"/>
      <c r="AC236" s="613"/>
      <c r="AD236" s="614"/>
      <c r="AE236" s="613"/>
      <c r="AF236" s="114"/>
      <c r="AG236" s="114"/>
      <c r="AH236" s="544"/>
      <c r="AI236" s="544"/>
      <c r="AJ236" s="115"/>
      <c r="AK236" s="115"/>
      <c r="AL236" s="115"/>
      <c r="AM236" s="115"/>
      <c r="AN236" s="115"/>
      <c r="AO236" s="115"/>
      <c r="AP236" s="115"/>
      <c r="AQ236" s="115"/>
      <c r="AR236" s="115"/>
      <c r="AS236" s="115"/>
      <c r="AT236" s="115"/>
      <c r="AU236" s="115"/>
      <c r="AV236" s="115"/>
    </row>
    <row r="237" spans="1:55" ht="13.6" x14ac:dyDescent="0.25">
      <c r="A237" s="60"/>
      <c r="B237" s="115"/>
      <c r="C237" s="115"/>
      <c r="D237" s="115"/>
      <c r="E237" s="115"/>
      <c r="F237" s="115"/>
      <c r="G237" s="115"/>
      <c r="H237" s="115"/>
      <c r="I237" s="115"/>
      <c r="J237" s="115"/>
      <c r="K237" s="115"/>
      <c r="L237" s="115"/>
      <c r="M237" s="115"/>
      <c r="N237" s="590"/>
      <c r="O237" s="590"/>
      <c r="P237" s="115"/>
      <c r="Q237" s="115"/>
      <c r="R237" s="115"/>
      <c r="S237" s="115"/>
      <c r="T237" s="115"/>
      <c r="U237" s="115"/>
      <c r="V237" s="590"/>
      <c r="W237" s="115"/>
      <c r="X237" s="115"/>
      <c r="Y237" s="115"/>
      <c r="Z237" s="115"/>
      <c r="AA237" s="115"/>
      <c r="AB237" s="115"/>
      <c r="AC237" s="114"/>
      <c r="AD237" s="115"/>
      <c r="AE237" s="543"/>
      <c r="AF237" s="114"/>
      <c r="AG237" s="114"/>
      <c r="AH237" s="544"/>
      <c r="AI237" s="544"/>
      <c r="AJ237" s="115"/>
      <c r="AK237" s="115"/>
      <c r="AL237" s="115"/>
      <c r="AM237" s="115"/>
      <c r="AN237" s="115"/>
      <c r="AO237" s="115"/>
      <c r="AP237" s="115"/>
      <c r="AQ237" s="115"/>
      <c r="AR237" s="115"/>
      <c r="AS237" s="115"/>
      <c r="AT237" s="115"/>
      <c r="AU237" s="115"/>
      <c r="AV237" s="115"/>
    </row>
    <row r="238" spans="1:55" x14ac:dyDescent="0.2">
      <c r="A238" s="60"/>
      <c r="B238" s="115"/>
      <c r="C238" s="115"/>
      <c r="D238" s="115"/>
      <c r="E238" s="115"/>
      <c r="F238" s="115"/>
      <c r="G238" s="115"/>
      <c r="H238" s="115"/>
      <c r="I238" s="115"/>
      <c r="J238" s="115"/>
      <c r="K238" s="115"/>
      <c r="L238" s="115"/>
      <c r="M238" s="115"/>
      <c r="N238" s="590"/>
      <c r="O238" s="590"/>
      <c r="P238" s="115"/>
      <c r="Q238" s="115"/>
      <c r="R238" s="115"/>
      <c r="S238" s="115"/>
      <c r="T238" s="115"/>
      <c r="U238" s="115"/>
      <c r="V238" s="590"/>
      <c r="W238" s="115"/>
      <c r="X238" s="115"/>
      <c r="Y238" s="115"/>
      <c r="Z238" s="115"/>
      <c r="AA238" s="115"/>
      <c r="AB238" s="115"/>
      <c r="AC238" s="114"/>
      <c r="AD238" s="115"/>
      <c r="AE238" s="114"/>
      <c r="AF238" s="114"/>
      <c r="AG238" s="114"/>
      <c r="AH238" s="544"/>
      <c r="AI238" s="544"/>
      <c r="AJ238" s="115"/>
      <c r="AK238" s="115"/>
      <c r="AL238" s="115"/>
      <c r="AM238" s="115"/>
      <c r="AN238" s="115"/>
      <c r="AO238" s="115"/>
      <c r="AP238" s="115"/>
      <c r="AQ238" s="115"/>
      <c r="AR238" s="115"/>
      <c r="AS238" s="115"/>
      <c r="AT238" s="115"/>
      <c r="AU238" s="115"/>
      <c r="AV238" s="115"/>
    </row>
    <row r="239" spans="1:55" x14ac:dyDescent="0.2">
      <c r="A239" s="60"/>
      <c r="B239" s="115"/>
      <c r="C239" s="115"/>
      <c r="D239" s="115"/>
      <c r="E239" s="115"/>
      <c r="F239" s="115"/>
      <c r="G239" s="115"/>
      <c r="H239" s="115"/>
      <c r="I239" s="115"/>
      <c r="J239" s="115"/>
      <c r="K239" s="115"/>
      <c r="L239" s="115"/>
      <c r="M239" s="115"/>
      <c r="N239" s="590"/>
      <c r="O239" s="590"/>
      <c r="P239" s="115"/>
      <c r="Q239" s="115"/>
      <c r="R239" s="115"/>
      <c r="S239" s="115"/>
      <c r="T239" s="115"/>
      <c r="U239" s="115"/>
      <c r="V239" s="590"/>
      <c r="W239" s="115"/>
      <c r="X239" s="115"/>
      <c r="Y239" s="115"/>
      <c r="Z239" s="115"/>
      <c r="AA239" s="115"/>
      <c r="AB239" s="115"/>
      <c r="AC239" s="114"/>
      <c r="AD239" s="115"/>
      <c r="AE239" s="114"/>
      <c r="AF239" s="114"/>
      <c r="AG239" s="114"/>
      <c r="AH239" s="544"/>
      <c r="AI239" s="544"/>
      <c r="AJ239" s="115"/>
      <c r="AK239" s="115"/>
      <c r="AL239" s="115"/>
      <c r="AM239" s="115"/>
      <c r="AN239" s="115"/>
      <c r="AO239" s="115"/>
      <c r="AP239" s="115"/>
      <c r="AQ239" s="115"/>
      <c r="AR239" s="115"/>
      <c r="AS239" s="115"/>
      <c r="AT239" s="115"/>
      <c r="AU239" s="115"/>
      <c r="AV239" s="115"/>
    </row>
    <row r="240" spans="1:55" x14ac:dyDescent="0.2">
      <c r="B240" s="115"/>
      <c r="C240" s="115"/>
      <c r="D240" s="115"/>
      <c r="E240" s="115"/>
      <c r="F240" s="115"/>
      <c r="G240" s="115"/>
      <c r="H240" s="115"/>
      <c r="I240" s="115"/>
      <c r="J240" s="115"/>
      <c r="K240" s="115"/>
      <c r="L240" s="115"/>
      <c r="M240" s="115"/>
      <c r="N240" s="590"/>
      <c r="O240" s="590"/>
      <c r="P240" s="115"/>
      <c r="Q240" s="115"/>
      <c r="R240" s="115"/>
      <c r="S240" s="115"/>
      <c r="T240" s="115"/>
      <c r="U240" s="115"/>
      <c r="V240" s="590"/>
      <c r="W240" s="115"/>
      <c r="X240" s="115"/>
      <c r="Y240" s="115"/>
      <c r="Z240" s="115"/>
      <c r="AA240" s="115"/>
      <c r="AB240" s="115"/>
      <c r="AC240" s="114"/>
      <c r="AD240" s="115"/>
      <c r="AE240" s="114"/>
      <c r="AF240" s="114"/>
      <c r="AG240" s="114"/>
      <c r="AH240" s="544"/>
      <c r="AI240" s="544"/>
      <c r="AJ240" s="115"/>
      <c r="AK240" s="115"/>
      <c r="AL240" s="115"/>
      <c r="AM240" s="115"/>
      <c r="AN240" s="115"/>
      <c r="AO240" s="115"/>
      <c r="AP240" s="115"/>
      <c r="AQ240" s="115"/>
      <c r="AR240" s="115"/>
      <c r="AS240" s="115"/>
      <c r="AT240" s="115"/>
      <c r="AU240" s="115"/>
      <c r="AV240" s="115"/>
    </row>
    <row r="241" spans="2:48" x14ac:dyDescent="0.2">
      <c r="B241" s="115"/>
      <c r="C241" s="115"/>
      <c r="D241" s="115"/>
      <c r="E241" s="115"/>
      <c r="F241" s="115"/>
      <c r="G241" s="115"/>
      <c r="H241" s="115"/>
      <c r="I241" s="115"/>
      <c r="J241" s="115"/>
      <c r="K241" s="115"/>
      <c r="L241" s="115"/>
      <c r="M241" s="115"/>
      <c r="N241" s="590"/>
      <c r="O241" s="590"/>
      <c r="P241" s="115"/>
      <c r="Q241" s="115"/>
      <c r="R241" s="115"/>
      <c r="S241" s="115"/>
      <c r="T241" s="115"/>
      <c r="U241" s="115"/>
      <c r="V241" s="590"/>
      <c r="W241" s="115"/>
      <c r="X241" s="115"/>
      <c r="Y241" s="115"/>
      <c r="Z241" s="115"/>
      <c r="AA241" s="115"/>
      <c r="AB241" s="115"/>
      <c r="AC241" s="114"/>
      <c r="AD241" s="115"/>
      <c r="AE241" s="114"/>
      <c r="AF241" s="114"/>
      <c r="AG241" s="114"/>
      <c r="AH241" s="544"/>
      <c r="AI241" s="544"/>
      <c r="AJ241" s="115"/>
      <c r="AK241" s="115"/>
      <c r="AL241" s="115"/>
      <c r="AM241" s="115"/>
      <c r="AN241" s="115"/>
      <c r="AO241" s="115"/>
      <c r="AP241" s="115"/>
      <c r="AQ241" s="115"/>
      <c r="AR241" s="115"/>
      <c r="AS241" s="115"/>
      <c r="AT241" s="115"/>
      <c r="AU241" s="115"/>
      <c r="AV241" s="115"/>
    </row>
    <row r="242" spans="2:48" x14ac:dyDescent="0.2">
      <c r="B242" s="115"/>
      <c r="C242" s="115"/>
      <c r="D242" s="115"/>
      <c r="E242" s="115"/>
      <c r="F242" s="115"/>
      <c r="G242" s="115"/>
      <c r="H242" s="115"/>
      <c r="I242" s="115"/>
      <c r="J242" s="115"/>
      <c r="K242" s="115"/>
      <c r="L242" s="115"/>
      <c r="M242" s="115"/>
      <c r="N242" s="590"/>
      <c r="O242" s="590"/>
      <c r="P242" s="115"/>
      <c r="Q242" s="115"/>
      <c r="R242" s="115"/>
      <c r="S242" s="115"/>
      <c r="T242" s="115"/>
      <c r="U242" s="115"/>
      <c r="V242" s="590"/>
      <c r="W242" s="115"/>
      <c r="X242" s="115"/>
      <c r="Y242" s="115"/>
      <c r="Z242" s="115"/>
      <c r="AA242" s="115"/>
      <c r="AB242" s="115"/>
      <c r="AC242" s="114"/>
      <c r="AD242" s="115"/>
      <c r="AE242" s="114"/>
      <c r="AF242" s="114"/>
      <c r="AG242" s="114"/>
      <c r="AH242" s="544"/>
      <c r="AI242" s="544"/>
      <c r="AJ242" s="115"/>
      <c r="AK242" s="115"/>
      <c r="AL242" s="115"/>
      <c r="AM242" s="115"/>
      <c r="AN242" s="115"/>
      <c r="AO242" s="115"/>
      <c r="AP242" s="115"/>
      <c r="AQ242" s="115"/>
      <c r="AR242" s="115"/>
      <c r="AS242" s="115"/>
      <c r="AT242" s="115"/>
      <c r="AU242" s="115"/>
      <c r="AV242" s="115"/>
    </row>
    <row r="243" spans="2:48" x14ac:dyDescent="0.2">
      <c r="B243" s="115"/>
      <c r="C243" s="115"/>
      <c r="D243" s="115"/>
      <c r="E243" s="115"/>
      <c r="F243" s="115"/>
      <c r="G243" s="115"/>
      <c r="H243" s="115"/>
      <c r="I243" s="115"/>
      <c r="J243" s="115"/>
      <c r="K243" s="115"/>
      <c r="L243" s="115"/>
      <c r="M243" s="115"/>
      <c r="N243" s="590"/>
      <c r="O243" s="590"/>
      <c r="P243" s="115"/>
      <c r="Q243" s="115"/>
      <c r="R243" s="115"/>
      <c r="S243" s="115"/>
      <c r="T243" s="115"/>
      <c r="U243" s="115"/>
      <c r="V243" s="590"/>
      <c r="W243" s="115"/>
      <c r="X243" s="115"/>
      <c r="Y243" s="115"/>
      <c r="Z243" s="115"/>
      <c r="AA243" s="115"/>
      <c r="AB243" s="115"/>
      <c r="AC243" s="114"/>
      <c r="AD243" s="115"/>
      <c r="AE243" s="114"/>
      <c r="AF243" s="114"/>
      <c r="AG243" s="114"/>
      <c r="AH243" s="544"/>
      <c r="AI243" s="544"/>
      <c r="AJ243" s="115"/>
      <c r="AK243" s="115"/>
      <c r="AL243" s="115"/>
      <c r="AM243" s="115"/>
      <c r="AN243" s="115"/>
      <c r="AO243" s="115"/>
      <c r="AP243" s="115"/>
      <c r="AQ243" s="115"/>
      <c r="AR243" s="115"/>
      <c r="AS243" s="115"/>
      <c r="AT243" s="115"/>
      <c r="AU243" s="115"/>
      <c r="AV243" s="115"/>
    </row>
    <row r="244" spans="2:48" x14ac:dyDescent="0.2">
      <c r="B244" s="115"/>
      <c r="C244" s="115"/>
      <c r="D244" s="115"/>
      <c r="E244" s="115"/>
      <c r="F244" s="115"/>
      <c r="G244" s="115"/>
      <c r="H244" s="115"/>
      <c r="I244" s="115"/>
      <c r="J244" s="115"/>
      <c r="K244" s="115"/>
      <c r="L244" s="115"/>
      <c r="M244" s="115"/>
      <c r="N244" s="590"/>
      <c r="O244" s="590"/>
      <c r="P244" s="115"/>
      <c r="Q244" s="115"/>
      <c r="R244" s="115"/>
      <c r="S244" s="115"/>
      <c r="T244" s="115"/>
      <c r="U244" s="115"/>
      <c r="V244" s="590"/>
      <c r="W244" s="115"/>
      <c r="X244" s="115"/>
      <c r="Y244" s="115"/>
      <c r="Z244" s="115"/>
      <c r="AA244" s="115"/>
      <c r="AB244" s="115"/>
      <c r="AC244" s="114"/>
      <c r="AD244" s="115"/>
      <c r="AE244" s="114"/>
      <c r="AF244" s="114"/>
      <c r="AG244" s="114"/>
      <c r="AH244" s="544"/>
      <c r="AI244" s="544"/>
      <c r="AJ244" s="115"/>
      <c r="AK244" s="115"/>
      <c r="AL244" s="115"/>
      <c r="AM244" s="115"/>
      <c r="AN244" s="115"/>
      <c r="AO244" s="115"/>
      <c r="AP244" s="115"/>
      <c r="AQ244" s="115"/>
      <c r="AR244" s="115"/>
      <c r="AS244" s="115"/>
      <c r="AT244" s="115"/>
      <c r="AU244" s="115"/>
      <c r="AV244" s="115"/>
    </row>
    <row r="245" spans="2:48" x14ac:dyDescent="0.2">
      <c r="B245" s="115"/>
      <c r="C245" s="115"/>
      <c r="D245" s="115"/>
      <c r="E245" s="115"/>
      <c r="F245" s="115"/>
      <c r="G245" s="115"/>
      <c r="H245" s="115"/>
      <c r="I245" s="115"/>
      <c r="J245" s="115"/>
      <c r="K245" s="115"/>
      <c r="L245" s="115"/>
      <c r="M245" s="115"/>
      <c r="N245" s="590"/>
      <c r="O245" s="590"/>
      <c r="P245" s="115"/>
      <c r="Q245" s="115"/>
      <c r="R245" s="115"/>
      <c r="S245" s="115"/>
      <c r="T245" s="115"/>
      <c r="U245" s="115"/>
      <c r="V245" s="590"/>
      <c r="W245" s="115"/>
      <c r="X245" s="115"/>
      <c r="Y245" s="115"/>
      <c r="Z245" s="115"/>
      <c r="AA245" s="115"/>
      <c r="AB245" s="115"/>
      <c r="AC245" s="114"/>
      <c r="AD245" s="115"/>
      <c r="AE245" s="114"/>
      <c r="AF245" s="114"/>
      <c r="AG245" s="114"/>
      <c r="AH245" s="544"/>
      <c r="AI245" s="544"/>
      <c r="AJ245" s="115"/>
      <c r="AK245" s="115"/>
      <c r="AL245" s="115"/>
      <c r="AM245" s="115"/>
      <c r="AN245" s="115"/>
      <c r="AO245" s="115"/>
      <c r="AP245" s="115"/>
      <c r="AQ245" s="115"/>
      <c r="AR245" s="115"/>
      <c r="AS245" s="115"/>
      <c r="AT245" s="115"/>
      <c r="AU245" s="115"/>
      <c r="AV245" s="115"/>
    </row>
    <row r="246" spans="2:48" x14ac:dyDescent="0.2">
      <c r="B246" s="115"/>
      <c r="C246" s="115"/>
      <c r="D246" s="115"/>
      <c r="E246" s="115"/>
      <c r="F246" s="115"/>
      <c r="G246" s="115"/>
      <c r="H246" s="115"/>
      <c r="I246" s="115"/>
      <c r="J246" s="115"/>
      <c r="K246" s="115"/>
      <c r="L246" s="115"/>
      <c r="M246" s="115"/>
      <c r="N246" s="590"/>
      <c r="O246" s="590"/>
      <c r="P246" s="115"/>
      <c r="Q246" s="115"/>
      <c r="R246" s="115"/>
      <c r="S246" s="115"/>
      <c r="T246" s="115"/>
      <c r="U246" s="115"/>
      <c r="V246" s="590"/>
      <c r="W246" s="115"/>
      <c r="X246" s="115"/>
      <c r="Y246" s="115"/>
      <c r="Z246" s="115"/>
      <c r="AA246" s="115"/>
      <c r="AB246" s="115"/>
      <c r="AC246" s="114"/>
      <c r="AD246" s="115"/>
      <c r="AE246" s="114"/>
      <c r="AF246" s="114"/>
      <c r="AG246" s="114"/>
      <c r="AH246" s="544"/>
      <c r="AI246" s="544"/>
      <c r="AJ246" s="115"/>
      <c r="AK246" s="115"/>
      <c r="AL246" s="115"/>
      <c r="AM246" s="115"/>
      <c r="AN246" s="115"/>
      <c r="AO246" s="115"/>
      <c r="AP246" s="115"/>
      <c r="AQ246" s="115"/>
      <c r="AR246" s="115"/>
      <c r="AS246" s="115"/>
      <c r="AT246" s="115"/>
      <c r="AU246" s="115"/>
      <c r="AV246" s="115"/>
    </row>
    <row r="247" spans="2:48" x14ac:dyDescent="0.2">
      <c r="B247" s="115"/>
      <c r="C247" s="115"/>
      <c r="D247" s="115"/>
      <c r="E247" s="115"/>
      <c r="F247" s="115"/>
      <c r="G247" s="115"/>
      <c r="H247" s="115"/>
      <c r="I247" s="115"/>
      <c r="J247" s="115"/>
      <c r="K247" s="115"/>
      <c r="L247" s="115"/>
      <c r="M247" s="115"/>
      <c r="N247" s="590"/>
      <c r="O247" s="590"/>
      <c r="P247" s="115"/>
      <c r="Q247" s="115"/>
      <c r="R247" s="115"/>
      <c r="S247" s="115"/>
      <c r="T247" s="115"/>
      <c r="U247" s="115"/>
      <c r="V247" s="590"/>
      <c r="W247" s="115"/>
      <c r="X247" s="115"/>
      <c r="Y247" s="115"/>
      <c r="Z247" s="115"/>
      <c r="AA247" s="115"/>
      <c r="AB247" s="115"/>
      <c r="AC247" s="114"/>
      <c r="AD247" s="115"/>
      <c r="AE247" s="114"/>
      <c r="AF247" s="114"/>
      <c r="AG247" s="114"/>
      <c r="AH247" s="544"/>
      <c r="AI247" s="544"/>
      <c r="AJ247" s="115"/>
      <c r="AK247" s="115"/>
      <c r="AL247" s="115"/>
      <c r="AM247" s="115"/>
      <c r="AN247" s="115"/>
      <c r="AO247" s="115"/>
      <c r="AP247" s="115"/>
      <c r="AQ247" s="115"/>
      <c r="AR247" s="115"/>
      <c r="AS247" s="115"/>
      <c r="AT247" s="115"/>
      <c r="AU247" s="115"/>
      <c r="AV247" s="115"/>
    </row>
    <row r="248" spans="2:48" x14ac:dyDescent="0.2">
      <c r="B248" s="115"/>
      <c r="C248" s="115"/>
      <c r="D248" s="115"/>
      <c r="E248" s="115"/>
      <c r="F248" s="115"/>
      <c r="G248" s="115"/>
      <c r="H248" s="115"/>
      <c r="I248" s="115"/>
      <c r="J248" s="115"/>
      <c r="K248" s="115"/>
      <c r="L248" s="115"/>
      <c r="M248" s="115"/>
      <c r="N248" s="590"/>
      <c r="O248" s="590"/>
      <c r="P248" s="115"/>
      <c r="Q248" s="115"/>
      <c r="R248" s="115"/>
      <c r="S248" s="115"/>
      <c r="T248" s="115"/>
      <c r="U248" s="115"/>
      <c r="V248" s="590"/>
      <c r="W248" s="115"/>
      <c r="X248" s="115"/>
      <c r="Y248" s="115"/>
      <c r="Z248" s="115"/>
      <c r="AA248" s="115"/>
      <c r="AB248" s="115"/>
      <c r="AC248" s="114"/>
      <c r="AD248" s="115"/>
      <c r="AE248" s="114"/>
      <c r="AF248" s="114"/>
      <c r="AG248" s="114"/>
      <c r="AH248" s="544"/>
      <c r="AI248" s="544"/>
      <c r="AJ248" s="115"/>
      <c r="AK248" s="115"/>
      <c r="AL248" s="115"/>
      <c r="AM248" s="115"/>
      <c r="AN248" s="115"/>
      <c r="AO248" s="115"/>
      <c r="AP248" s="115"/>
      <c r="AQ248" s="115"/>
      <c r="AR248" s="115"/>
      <c r="AS248" s="115"/>
      <c r="AT248" s="115"/>
      <c r="AU248" s="115"/>
      <c r="AV248" s="115"/>
    </row>
    <row r="249" spans="2:48" x14ac:dyDescent="0.2">
      <c r="B249" s="115"/>
      <c r="C249" s="115"/>
      <c r="D249" s="115"/>
      <c r="E249" s="115"/>
      <c r="F249" s="115"/>
      <c r="G249" s="115"/>
      <c r="H249" s="115"/>
      <c r="I249" s="115"/>
      <c r="J249" s="115"/>
      <c r="K249" s="115"/>
      <c r="L249" s="115"/>
      <c r="M249" s="115"/>
      <c r="N249" s="590"/>
      <c r="O249" s="590"/>
      <c r="P249" s="115"/>
      <c r="Q249" s="115"/>
      <c r="R249" s="115"/>
      <c r="S249" s="115"/>
      <c r="T249" s="115"/>
      <c r="U249" s="115"/>
      <c r="V249" s="590"/>
      <c r="W249" s="115"/>
      <c r="X249" s="115"/>
      <c r="Y249" s="115"/>
      <c r="Z249" s="115"/>
      <c r="AA249" s="115"/>
      <c r="AB249" s="115"/>
      <c r="AC249" s="114"/>
      <c r="AD249" s="115"/>
      <c r="AE249" s="114"/>
      <c r="AF249" s="114"/>
      <c r="AG249" s="114"/>
      <c r="AH249" s="544"/>
      <c r="AI249" s="544"/>
      <c r="AJ249" s="115"/>
      <c r="AK249" s="115"/>
      <c r="AL249" s="115"/>
      <c r="AM249" s="115"/>
      <c r="AN249" s="115"/>
      <c r="AO249" s="115"/>
      <c r="AP249" s="115"/>
      <c r="AQ249" s="115"/>
      <c r="AR249" s="115"/>
      <c r="AS249" s="115"/>
      <c r="AT249" s="115"/>
      <c r="AU249" s="115"/>
      <c r="AV249" s="115"/>
    </row>
    <row r="250" spans="2:48" x14ac:dyDescent="0.2">
      <c r="B250" s="115"/>
      <c r="C250" s="115"/>
      <c r="D250" s="115"/>
      <c r="E250" s="115"/>
      <c r="F250" s="115"/>
      <c r="G250" s="115"/>
      <c r="H250" s="115"/>
      <c r="I250" s="115"/>
      <c r="J250" s="115"/>
      <c r="K250" s="115"/>
      <c r="L250" s="115"/>
      <c r="M250" s="115"/>
      <c r="N250" s="590"/>
      <c r="O250" s="590"/>
      <c r="P250" s="115"/>
      <c r="Q250" s="115"/>
      <c r="R250" s="115"/>
      <c r="S250" s="115"/>
      <c r="T250" s="115"/>
      <c r="U250" s="115"/>
      <c r="V250" s="590"/>
      <c r="W250" s="115"/>
      <c r="X250" s="115"/>
      <c r="Y250" s="115"/>
      <c r="Z250" s="115"/>
      <c r="AA250" s="115"/>
      <c r="AB250" s="115"/>
      <c r="AC250" s="114"/>
      <c r="AD250" s="115"/>
      <c r="AE250" s="114"/>
      <c r="AF250" s="114"/>
      <c r="AG250" s="114"/>
      <c r="AH250" s="544"/>
      <c r="AI250" s="544"/>
      <c r="AJ250" s="115"/>
      <c r="AK250" s="115"/>
      <c r="AL250" s="115"/>
      <c r="AM250" s="115"/>
      <c r="AN250" s="115"/>
      <c r="AO250" s="115"/>
      <c r="AP250" s="115"/>
      <c r="AQ250" s="115"/>
      <c r="AR250" s="115"/>
      <c r="AS250" s="115"/>
      <c r="AT250" s="115"/>
      <c r="AU250" s="115"/>
      <c r="AV250" s="115"/>
    </row>
    <row r="251" spans="2:48" x14ac:dyDescent="0.2">
      <c r="B251" s="115"/>
      <c r="C251" s="115"/>
      <c r="D251" s="115"/>
      <c r="E251" s="115"/>
      <c r="F251" s="115"/>
      <c r="G251" s="115"/>
      <c r="H251" s="115"/>
      <c r="I251" s="115"/>
      <c r="J251" s="115"/>
      <c r="K251" s="115"/>
      <c r="L251" s="115"/>
      <c r="M251" s="115"/>
      <c r="N251" s="590"/>
      <c r="O251" s="590"/>
      <c r="P251" s="115"/>
      <c r="Q251" s="115"/>
      <c r="R251" s="115"/>
      <c r="S251" s="115"/>
      <c r="T251" s="115"/>
      <c r="U251" s="115"/>
      <c r="V251" s="590"/>
      <c r="W251" s="115"/>
      <c r="X251" s="115"/>
      <c r="Y251" s="115"/>
      <c r="Z251" s="115"/>
      <c r="AA251" s="115"/>
      <c r="AB251" s="115"/>
      <c r="AC251" s="114"/>
      <c r="AD251" s="115"/>
      <c r="AE251" s="114"/>
      <c r="AF251" s="114"/>
      <c r="AG251" s="114"/>
      <c r="AH251" s="114"/>
      <c r="AI251" s="544"/>
      <c r="AJ251" s="115"/>
      <c r="AK251" s="115"/>
      <c r="AL251" s="115"/>
      <c r="AM251" s="115"/>
      <c r="AN251" s="115"/>
      <c r="AO251" s="115"/>
      <c r="AP251" s="115"/>
      <c r="AQ251" s="115"/>
      <c r="AR251" s="115"/>
      <c r="AS251" s="115"/>
      <c r="AT251" s="115"/>
      <c r="AU251" s="115"/>
      <c r="AV251" s="115"/>
    </row>
    <row r="252" spans="2:48" x14ac:dyDescent="0.2">
      <c r="B252" s="115"/>
      <c r="C252" s="115"/>
      <c r="D252" s="115"/>
      <c r="E252" s="115"/>
      <c r="F252" s="115"/>
      <c r="G252" s="115"/>
      <c r="H252" s="115"/>
      <c r="I252" s="115"/>
      <c r="J252" s="115"/>
      <c r="K252" s="115"/>
      <c r="L252" s="115"/>
      <c r="M252" s="115"/>
      <c r="N252" s="590"/>
      <c r="O252" s="590"/>
      <c r="P252" s="115"/>
      <c r="Q252" s="115"/>
      <c r="R252" s="115"/>
      <c r="S252" s="115"/>
      <c r="T252" s="115"/>
      <c r="U252" s="115"/>
      <c r="V252" s="590"/>
      <c r="W252" s="115"/>
      <c r="X252" s="115"/>
      <c r="Y252" s="115"/>
      <c r="Z252" s="115"/>
      <c r="AA252" s="115"/>
      <c r="AB252" s="115"/>
      <c r="AC252" s="114"/>
      <c r="AD252" s="115"/>
      <c r="AE252" s="114"/>
      <c r="AF252" s="114"/>
      <c r="AG252" s="114"/>
      <c r="AH252" s="114"/>
      <c r="AI252" s="544"/>
      <c r="AJ252" s="115"/>
      <c r="AK252" s="115"/>
      <c r="AL252" s="115"/>
      <c r="AM252" s="115"/>
      <c r="AN252" s="115"/>
      <c r="AO252" s="115"/>
      <c r="AP252" s="115"/>
      <c r="AQ252" s="115"/>
      <c r="AR252" s="115"/>
      <c r="AS252" s="115"/>
      <c r="AT252" s="115"/>
      <c r="AU252" s="115"/>
      <c r="AV252" s="115"/>
    </row>
    <row r="253" spans="2:48" x14ac:dyDescent="0.2">
      <c r="B253" s="115"/>
      <c r="C253" s="115"/>
      <c r="D253" s="115"/>
      <c r="E253" s="115"/>
      <c r="F253" s="115"/>
      <c r="G253" s="115"/>
      <c r="H253" s="115"/>
      <c r="I253" s="115"/>
      <c r="J253" s="115"/>
      <c r="K253" s="115"/>
      <c r="L253" s="115"/>
      <c r="M253" s="115"/>
      <c r="N253" s="590"/>
      <c r="O253" s="590"/>
      <c r="P253" s="115"/>
      <c r="Q253" s="115"/>
      <c r="R253" s="115"/>
      <c r="S253" s="115"/>
      <c r="T253" s="115"/>
      <c r="U253" s="115"/>
      <c r="V253" s="590"/>
      <c r="W253" s="115"/>
      <c r="X253" s="115"/>
      <c r="Y253" s="115"/>
      <c r="Z253" s="115"/>
      <c r="AA253" s="115"/>
      <c r="AB253" s="115"/>
      <c r="AC253" s="114"/>
      <c r="AD253" s="115"/>
      <c r="AE253" s="114"/>
      <c r="AF253" s="114"/>
      <c r="AG253" s="114"/>
      <c r="AH253" s="114"/>
      <c r="AI253" s="114"/>
      <c r="AJ253" s="115"/>
      <c r="AK253" s="115"/>
      <c r="AL253" s="115"/>
      <c r="AM253" s="115"/>
      <c r="AN253" s="115"/>
      <c r="AO253" s="115"/>
      <c r="AP253" s="115"/>
      <c r="AQ253" s="115"/>
      <c r="AR253" s="115"/>
      <c r="AS253" s="115"/>
      <c r="AT253" s="115"/>
      <c r="AU253" s="115"/>
      <c r="AV253" s="115"/>
    </row>
    <row r="254" spans="2:48" x14ac:dyDescent="0.2">
      <c r="B254" s="115"/>
      <c r="C254" s="115"/>
      <c r="D254" s="115"/>
      <c r="E254" s="115"/>
      <c r="F254" s="115"/>
      <c r="G254" s="115"/>
      <c r="H254" s="115"/>
      <c r="I254" s="115"/>
      <c r="J254" s="115"/>
      <c r="K254" s="115"/>
      <c r="L254" s="115"/>
      <c r="M254" s="115"/>
      <c r="N254" s="590"/>
      <c r="O254" s="590"/>
      <c r="P254" s="115"/>
      <c r="Q254" s="115"/>
      <c r="R254" s="115"/>
      <c r="S254" s="115"/>
      <c r="T254" s="115"/>
      <c r="U254" s="115"/>
      <c r="V254" s="590"/>
      <c r="W254" s="115"/>
      <c r="X254" s="115"/>
      <c r="Y254" s="115"/>
      <c r="Z254" s="115"/>
      <c r="AA254" s="115"/>
      <c r="AB254" s="115"/>
      <c r="AC254" s="114"/>
      <c r="AD254" s="115"/>
      <c r="AE254" s="114"/>
      <c r="AF254" s="114"/>
      <c r="AG254" s="114"/>
      <c r="AH254" s="114"/>
      <c r="AI254" s="114"/>
      <c r="AJ254" s="115"/>
      <c r="AK254" s="115"/>
      <c r="AL254" s="115"/>
      <c r="AM254" s="115"/>
      <c r="AN254" s="115"/>
      <c r="AO254" s="115"/>
      <c r="AP254" s="115"/>
      <c r="AQ254" s="115"/>
      <c r="AR254" s="115"/>
      <c r="AS254" s="115"/>
      <c r="AT254" s="115"/>
      <c r="AU254" s="115"/>
      <c r="AV254" s="115"/>
    </row>
    <row r="255" spans="2:48" x14ac:dyDescent="0.2">
      <c r="B255" s="115"/>
      <c r="C255" s="115"/>
      <c r="D255" s="115"/>
      <c r="E255" s="115"/>
      <c r="F255" s="115"/>
      <c r="G255" s="115"/>
      <c r="H255" s="115"/>
      <c r="I255" s="115"/>
      <c r="J255" s="115"/>
      <c r="K255" s="115"/>
      <c r="L255" s="115"/>
      <c r="M255" s="115"/>
      <c r="N255" s="590"/>
      <c r="O255" s="590"/>
      <c r="P255" s="115"/>
      <c r="Q255" s="115"/>
      <c r="R255" s="115"/>
      <c r="S255" s="115"/>
      <c r="T255" s="115"/>
      <c r="U255" s="115"/>
      <c r="V255" s="590"/>
      <c r="W255" s="115"/>
      <c r="X255" s="115"/>
      <c r="Y255" s="115"/>
      <c r="Z255" s="115"/>
      <c r="AA255" s="115"/>
      <c r="AB255" s="115"/>
      <c r="AC255" s="114"/>
      <c r="AD255" s="115"/>
      <c r="AE255" s="114"/>
      <c r="AF255" s="114"/>
      <c r="AG255" s="114"/>
      <c r="AH255" s="114"/>
      <c r="AI255" s="114"/>
      <c r="AJ255" s="115"/>
      <c r="AK255" s="115"/>
      <c r="AL255" s="115"/>
      <c r="AM255" s="115"/>
      <c r="AN255" s="115"/>
      <c r="AO255" s="115"/>
      <c r="AP255" s="115"/>
      <c r="AQ255" s="115"/>
      <c r="AR255" s="115"/>
      <c r="AS255" s="115"/>
      <c r="AT255" s="115"/>
      <c r="AU255" s="115"/>
      <c r="AV255" s="115"/>
    </row>
    <row r="256" spans="2:48" x14ac:dyDescent="0.2">
      <c r="B256" s="115"/>
      <c r="C256" s="115"/>
      <c r="D256" s="115"/>
      <c r="E256" s="115"/>
      <c r="F256" s="115"/>
      <c r="G256" s="115"/>
      <c r="H256" s="115"/>
      <c r="I256" s="115"/>
      <c r="J256" s="115"/>
      <c r="K256" s="115"/>
      <c r="L256" s="115"/>
      <c r="M256" s="115"/>
      <c r="N256" s="590"/>
      <c r="O256" s="590"/>
      <c r="P256" s="115"/>
      <c r="Q256" s="115"/>
      <c r="R256" s="115"/>
      <c r="S256" s="115"/>
      <c r="T256" s="115"/>
      <c r="U256" s="115"/>
      <c r="V256" s="590"/>
      <c r="W256" s="115"/>
      <c r="X256" s="115"/>
      <c r="Y256" s="115"/>
      <c r="Z256" s="115"/>
      <c r="AA256" s="115"/>
      <c r="AB256" s="115"/>
      <c r="AC256" s="114"/>
      <c r="AD256" s="115"/>
      <c r="AE256" s="114"/>
      <c r="AF256" s="114"/>
      <c r="AG256" s="114"/>
      <c r="AH256" s="114"/>
      <c r="AI256" s="114"/>
      <c r="AJ256" s="115"/>
      <c r="AK256" s="115"/>
      <c r="AL256" s="115"/>
      <c r="AM256" s="115"/>
      <c r="AN256" s="115"/>
      <c r="AO256" s="115"/>
      <c r="AP256" s="115"/>
      <c r="AQ256" s="115"/>
      <c r="AR256" s="115"/>
      <c r="AS256" s="115"/>
      <c r="AT256" s="115"/>
      <c r="AU256" s="115"/>
      <c r="AV256" s="115"/>
    </row>
    <row r="257" spans="2:48" x14ac:dyDescent="0.2">
      <c r="B257" s="115"/>
      <c r="C257" s="115"/>
      <c r="D257" s="115"/>
      <c r="E257" s="115"/>
      <c r="F257" s="115"/>
      <c r="G257" s="115"/>
      <c r="H257" s="115"/>
      <c r="I257" s="115"/>
      <c r="J257" s="115"/>
      <c r="K257" s="115"/>
      <c r="L257" s="115"/>
      <c r="M257" s="115"/>
      <c r="N257" s="590"/>
      <c r="O257" s="590"/>
      <c r="P257" s="115"/>
      <c r="Q257" s="115"/>
      <c r="R257" s="115"/>
      <c r="S257" s="115"/>
      <c r="T257" s="115"/>
      <c r="U257" s="115"/>
      <c r="V257" s="590"/>
      <c r="W257" s="115"/>
      <c r="X257" s="115"/>
      <c r="Y257" s="115"/>
      <c r="Z257" s="115"/>
      <c r="AA257" s="115"/>
      <c r="AB257" s="115"/>
      <c r="AC257" s="114"/>
      <c r="AD257" s="115"/>
      <c r="AE257" s="114"/>
      <c r="AF257" s="114"/>
      <c r="AG257" s="114"/>
      <c r="AH257" s="114"/>
      <c r="AI257" s="114"/>
      <c r="AJ257" s="115"/>
      <c r="AK257" s="115"/>
      <c r="AL257" s="115"/>
      <c r="AM257" s="115"/>
      <c r="AN257" s="115"/>
      <c r="AO257" s="115"/>
      <c r="AP257" s="115"/>
      <c r="AQ257" s="115"/>
      <c r="AR257" s="115"/>
      <c r="AS257" s="115"/>
      <c r="AT257" s="115"/>
      <c r="AU257" s="115"/>
      <c r="AV257" s="115"/>
    </row>
    <row r="258" spans="2:48" x14ac:dyDescent="0.2">
      <c r="B258" s="115"/>
      <c r="C258" s="115"/>
      <c r="D258" s="115"/>
      <c r="E258" s="115"/>
      <c r="F258" s="115"/>
      <c r="G258" s="115"/>
      <c r="H258" s="115"/>
      <c r="I258" s="115"/>
      <c r="J258" s="115"/>
      <c r="K258" s="115"/>
      <c r="L258" s="115"/>
      <c r="M258" s="115"/>
      <c r="N258" s="590"/>
      <c r="O258" s="590"/>
      <c r="P258" s="115"/>
      <c r="Q258" s="115"/>
      <c r="R258" s="115"/>
      <c r="S258" s="115"/>
      <c r="T258" s="115"/>
      <c r="U258" s="115"/>
      <c r="V258" s="590"/>
      <c r="W258" s="115"/>
      <c r="X258" s="115"/>
      <c r="Y258" s="115"/>
      <c r="Z258" s="115"/>
      <c r="AA258" s="115"/>
      <c r="AB258" s="115"/>
      <c r="AC258" s="114"/>
      <c r="AD258" s="115"/>
      <c r="AE258" s="114"/>
      <c r="AF258" s="114"/>
      <c r="AG258" s="114"/>
      <c r="AH258" s="114"/>
      <c r="AI258" s="114"/>
      <c r="AJ258" s="115"/>
      <c r="AK258" s="115"/>
      <c r="AL258" s="115"/>
      <c r="AM258" s="115"/>
      <c r="AN258" s="115"/>
      <c r="AO258" s="115"/>
      <c r="AP258" s="115"/>
      <c r="AQ258" s="115"/>
      <c r="AR258" s="115"/>
      <c r="AS258" s="115"/>
      <c r="AT258" s="115"/>
      <c r="AU258" s="115"/>
      <c r="AV258" s="115"/>
    </row>
    <row r="259" spans="2:48" x14ac:dyDescent="0.2">
      <c r="B259" s="115"/>
      <c r="C259" s="115"/>
      <c r="D259" s="115"/>
      <c r="E259" s="115"/>
      <c r="F259" s="115"/>
      <c r="G259" s="115"/>
      <c r="H259" s="115"/>
      <c r="I259" s="115"/>
      <c r="J259" s="115"/>
      <c r="K259" s="115"/>
      <c r="L259" s="115"/>
      <c r="M259" s="115"/>
      <c r="N259" s="590"/>
      <c r="O259" s="590"/>
      <c r="P259" s="115"/>
      <c r="Q259" s="115"/>
      <c r="R259" s="115"/>
      <c r="S259" s="115"/>
      <c r="T259" s="115"/>
      <c r="U259" s="115"/>
      <c r="V259" s="590"/>
      <c r="W259" s="115"/>
      <c r="X259" s="115"/>
      <c r="Y259" s="115"/>
      <c r="Z259" s="115"/>
      <c r="AA259" s="115"/>
      <c r="AB259" s="115"/>
      <c r="AC259" s="114"/>
      <c r="AD259" s="115"/>
      <c r="AE259" s="114"/>
      <c r="AF259" s="114"/>
      <c r="AG259" s="114"/>
      <c r="AH259" s="114"/>
      <c r="AI259" s="114"/>
      <c r="AJ259" s="115"/>
      <c r="AK259" s="115"/>
      <c r="AL259" s="115"/>
      <c r="AM259" s="115"/>
      <c r="AN259" s="115"/>
      <c r="AO259" s="115"/>
      <c r="AP259" s="115"/>
      <c r="AQ259" s="115"/>
      <c r="AR259" s="115"/>
      <c r="AS259" s="115"/>
      <c r="AT259" s="115"/>
      <c r="AU259" s="115"/>
      <c r="AV259" s="115"/>
    </row>
    <row r="260" spans="2:48" x14ac:dyDescent="0.2">
      <c r="B260" s="115"/>
      <c r="C260" s="115"/>
      <c r="D260" s="115"/>
      <c r="E260" s="115"/>
      <c r="F260" s="115"/>
      <c r="G260" s="115"/>
      <c r="H260" s="115"/>
      <c r="I260" s="115"/>
      <c r="J260" s="115"/>
      <c r="K260" s="115"/>
      <c r="L260" s="115"/>
      <c r="M260" s="115"/>
      <c r="N260" s="590"/>
      <c r="O260" s="590"/>
      <c r="P260" s="115"/>
      <c r="Q260" s="115"/>
      <c r="R260" s="115"/>
      <c r="S260" s="115"/>
      <c r="T260" s="115"/>
      <c r="U260" s="115"/>
      <c r="V260" s="590"/>
      <c r="W260" s="115"/>
      <c r="X260" s="115"/>
      <c r="Y260" s="115"/>
      <c r="Z260" s="115"/>
      <c r="AA260" s="115"/>
      <c r="AB260" s="115"/>
      <c r="AC260" s="115"/>
      <c r="AD260" s="115"/>
      <c r="AE260" s="114"/>
      <c r="AF260" s="114"/>
      <c r="AG260" s="114"/>
      <c r="AH260" s="115"/>
      <c r="AI260" s="114"/>
      <c r="AJ260" s="115"/>
      <c r="AK260" s="115"/>
      <c r="AL260" s="115"/>
      <c r="AM260" s="115"/>
      <c r="AN260" s="115"/>
      <c r="AO260" s="115"/>
      <c r="AP260" s="115"/>
      <c r="AQ260" s="115"/>
      <c r="AR260" s="115"/>
      <c r="AS260" s="115"/>
      <c r="AT260" s="115"/>
      <c r="AU260" s="115"/>
      <c r="AV260" s="115"/>
    </row>
    <row r="261" spans="2:48" x14ac:dyDescent="0.2">
      <c r="B261" s="115"/>
      <c r="C261" s="115"/>
      <c r="D261" s="115"/>
      <c r="E261" s="115"/>
      <c r="F261" s="115"/>
      <c r="G261" s="115"/>
      <c r="H261" s="115"/>
      <c r="I261" s="115"/>
      <c r="J261" s="115"/>
      <c r="K261" s="115"/>
      <c r="L261" s="115"/>
      <c r="M261" s="115"/>
      <c r="N261" s="590"/>
      <c r="O261" s="590"/>
      <c r="P261" s="115"/>
      <c r="Q261" s="115"/>
      <c r="R261" s="115"/>
      <c r="S261" s="115"/>
      <c r="T261" s="115"/>
      <c r="U261" s="115"/>
      <c r="V261" s="590"/>
      <c r="W261" s="115"/>
      <c r="X261" s="115"/>
      <c r="Y261" s="115"/>
      <c r="Z261" s="115"/>
      <c r="AA261" s="115"/>
      <c r="AB261" s="115"/>
      <c r="AC261" s="115"/>
      <c r="AD261" s="115"/>
      <c r="AE261" s="114"/>
      <c r="AF261" s="114"/>
      <c r="AG261" s="114"/>
      <c r="AH261" s="115"/>
      <c r="AI261" s="114"/>
      <c r="AJ261" s="115"/>
      <c r="AK261" s="115"/>
      <c r="AL261" s="115"/>
      <c r="AM261" s="115"/>
      <c r="AN261" s="115"/>
      <c r="AO261" s="115"/>
      <c r="AP261" s="115"/>
      <c r="AQ261" s="115"/>
      <c r="AR261" s="115"/>
      <c r="AS261" s="115"/>
      <c r="AT261" s="115"/>
      <c r="AU261" s="115"/>
      <c r="AV261" s="115"/>
    </row>
    <row r="262" spans="2:48" x14ac:dyDescent="0.2">
      <c r="B262" s="115"/>
      <c r="C262" s="115"/>
      <c r="D262" s="115"/>
      <c r="E262" s="115"/>
      <c r="F262" s="115"/>
      <c r="G262" s="115"/>
      <c r="H262" s="115"/>
      <c r="I262" s="115"/>
      <c r="J262" s="115"/>
      <c r="K262" s="115"/>
      <c r="L262" s="115"/>
      <c r="M262" s="115"/>
      <c r="N262" s="590"/>
      <c r="O262" s="590"/>
      <c r="P262" s="115"/>
      <c r="Q262" s="115"/>
      <c r="R262" s="115"/>
      <c r="S262" s="115"/>
      <c r="T262" s="115"/>
      <c r="U262" s="115"/>
      <c r="V262" s="590"/>
      <c r="W262" s="115"/>
      <c r="X262" s="115"/>
      <c r="Y262" s="115"/>
      <c r="Z262" s="115"/>
      <c r="AA262" s="115"/>
      <c r="AB262" s="115"/>
      <c r="AC262" s="115"/>
      <c r="AD262" s="115"/>
      <c r="AE262" s="114"/>
      <c r="AF262" s="114"/>
      <c r="AG262" s="114"/>
      <c r="AH262" s="115"/>
      <c r="AI262" s="115"/>
      <c r="AJ262" s="115"/>
      <c r="AK262" s="115"/>
      <c r="AL262" s="115"/>
      <c r="AM262" s="115"/>
      <c r="AN262" s="115"/>
      <c r="AO262" s="115"/>
      <c r="AP262" s="115"/>
      <c r="AQ262" s="115"/>
      <c r="AR262" s="115"/>
      <c r="AS262" s="115"/>
      <c r="AT262" s="115"/>
      <c r="AU262" s="115"/>
      <c r="AV262" s="115"/>
    </row>
    <row r="263" spans="2:48" x14ac:dyDescent="0.2">
      <c r="B263" s="115"/>
      <c r="C263" s="115"/>
      <c r="D263" s="115"/>
      <c r="E263" s="115"/>
      <c r="F263" s="115"/>
      <c r="G263" s="115"/>
      <c r="H263" s="115"/>
      <c r="I263" s="115"/>
      <c r="J263" s="115"/>
      <c r="K263" s="115"/>
      <c r="L263" s="115"/>
      <c r="M263" s="115"/>
      <c r="N263" s="590"/>
      <c r="O263" s="590"/>
      <c r="P263" s="115"/>
      <c r="Q263" s="115"/>
      <c r="R263" s="115"/>
      <c r="S263" s="115"/>
      <c r="T263" s="115"/>
      <c r="U263" s="115"/>
      <c r="V263" s="590"/>
      <c r="W263" s="115"/>
      <c r="X263" s="115"/>
      <c r="Y263" s="115"/>
      <c r="Z263" s="115"/>
      <c r="AA263" s="115"/>
      <c r="AB263" s="115"/>
      <c r="AC263" s="115"/>
      <c r="AD263" s="115"/>
      <c r="AE263" s="114"/>
      <c r="AF263" s="115"/>
      <c r="AG263" s="115"/>
      <c r="AH263" s="115"/>
      <c r="AI263" s="115"/>
      <c r="AJ263" s="115"/>
      <c r="AK263" s="115"/>
      <c r="AL263" s="115"/>
      <c r="AM263" s="115"/>
      <c r="AN263" s="115"/>
      <c r="AO263" s="115"/>
      <c r="AP263" s="115"/>
      <c r="AQ263" s="115"/>
      <c r="AR263" s="115"/>
      <c r="AS263" s="115"/>
      <c r="AT263" s="115"/>
      <c r="AU263" s="115"/>
      <c r="AV263" s="115"/>
    </row>
    <row r="264" spans="2:48" x14ac:dyDescent="0.2">
      <c r="C264" s="198"/>
      <c r="D264" s="198"/>
      <c r="E264" s="198"/>
      <c r="F264" s="198"/>
      <c r="G264" s="198"/>
      <c r="H264" s="198"/>
      <c r="I264" s="198"/>
      <c r="J264" s="198"/>
      <c r="K264" s="198"/>
      <c r="L264" s="198"/>
      <c r="M264" s="198"/>
      <c r="N264" s="201"/>
      <c r="O264" s="201"/>
      <c r="P264" s="198"/>
      <c r="Q264" s="198"/>
      <c r="R264" s="198"/>
      <c r="S264" s="198"/>
      <c r="T264" s="198"/>
      <c r="U264" s="198"/>
      <c r="V264" s="201"/>
      <c r="W264" s="198"/>
      <c r="X264" s="198"/>
      <c r="Y264" s="198"/>
      <c r="Z264" s="198"/>
      <c r="AA264" s="198"/>
      <c r="AB264" s="198"/>
      <c r="AC264" s="120"/>
      <c r="AD264" s="115"/>
      <c r="AE264" s="115"/>
      <c r="AF264" s="115"/>
      <c r="AG264" s="115"/>
      <c r="AH264" s="115"/>
      <c r="AI264" s="115"/>
      <c r="AJ264" s="115"/>
      <c r="AK264" s="115"/>
      <c r="AL264" s="115"/>
      <c r="AM264" s="115"/>
      <c r="AN264" s="115"/>
      <c r="AO264" s="115"/>
      <c r="AP264" s="115"/>
      <c r="AQ264" s="115"/>
      <c r="AR264" s="115"/>
      <c r="AS264" s="115"/>
      <c r="AT264" s="115"/>
      <c r="AU264" s="115"/>
      <c r="AV264" s="115"/>
    </row>
    <row r="265" spans="2:48" x14ac:dyDescent="0.2">
      <c r="C265" s="198"/>
      <c r="D265" s="198"/>
      <c r="E265" s="198"/>
      <c r="F265" s="198"/>
      <c r="G265" s="198"/>
      <c r="H265" s="198"/>
      <c r="I265" s="198"/>
      <c r="J265" s="198"/>
      <c r="K265" s="198"/>
      <c r="L265" s="198"/>
      <c r="M265" s="198"/>
      <c r="N265" s="201"/>
      <c r="O265" s="201"/>
      <c r="P265" s="198"/>
      <c r="Q265" s="198"/>
      <c r="R265" s="198"/>
      <c r="S265" s="198"/>
      <c r="T265" s="198"/>
      <c r="U265" s="198"/>
      <c r="V265" s="201"/>
      <c r="W265" s="198"/>
      <c r="X265" s="198"/>
      <c r="Y265" s="198"/>
      <c r="Z265" s="198"/>
      <c r="AA265" s="198"/>
      <c r="AB265" s="198"/>
      <c r="AC265" s="120"/>
      <c r="AD265" s="115"/>
      <c r="AE265" s="115"/>
      <c r="AF265" s="115"/>
      <c r="AG265" s="115"/>
      <c r="AH265" s="115"/>
      <c r="AI265" s="115"/>
      <c r="AJ265" s="115"/>
      <c r="AK265" s="115"/>
      <c r="AL265" s="115"/>
      <c r="AM265" s="115"/>
      <c r="AN265" s="115"/>
      <c r="AO265" s="115"/>
      <c r="AP265" s="115"/>
      <c r="AQ265" s="115"/>
      <c r="AR265" s="115"/>
      <c r="AS265" s="115"/>
      <c r="AT265" s="115"/>
      <c r="AU265" s="115"/>
      <c r="AV265" s="115"/>
    </row>
    <row r="266" spans="2:48" x14ac:dyDescent="0.2">
      <c r="C266" s="198"/>
      <c r="D266" s="198"/>
      <c r="E266" s="198"/>
      <c r="F266" s="198"/>
      <c r="G266" s="198"/>
      <c r="H266" s="198"/>
      <c r="I266" s="198"/>
      <c r="J266" s="198"/>
      <c r="K266" s="198"/>
      <c r="L266" s="198"/>
      <c r="M266" s="198"/>
      <c r="N266" s="201"/>
      <c r="O266" s="201"/>
      <c r="P266" s="198"/>
      <c r="Q266" s="198"/>
      <c r="R266" s="198"/>
      <c r="S266" s="198"/>
      <c r="T266" s="198"/>
      <c r="U266" s="198"/>
      <c r="V266" s="201"/>
      <c r="W266" s="198"/>
      <c r="X266" s="198"/>
      <c r="Y266" s="198"/>
      <c r="Z266" s="198"/>
      <c r="AA266" s="198"/>
      <c r="AB266" s="198"/>
      <c r="AC266" s="120"/>
      <c r="AD266" s="115"/>
      <c r="AE266" s="115"/>
      <c r="AF266" s="115"/>
      <c r="AG266" s="115"/>
      <c r="AH266" s="115"/>
      <c r="AI266" s="115"/>
      <c r="AJ266" s="115"/>
      <c r="AK266" s="115"/>
      <c r="AL266" s="115"/>
      <c r="AM266" s="115"/>
      <c r="AN266" s="115"/>
      <c r="AO266" s="115"/>
      <c r="AP266" s="115"/>
      <c r="AQ266" s="115"/>
      <c r="AR266" s="115"/>
      <c r="AS266" s="115"/>
      <c r="AT266" s="115"/>
      <c r="AU266" s="115"/>
      <c r="AV266" s="115"/>
    </row>
    <row r="267" spans="2:48" x14ac:dyDescent="0.2">
      <c r="C267" s="198"/>
      <c r="D267" s="198"/>
      <c r="E267" s="198"/>
      <c r="F267" s="198"/>
      <c r="G267" s="198"/>
      <c r="H267" s="198"/>
      <c r="I267" s="198"/>
      <c r="J267" s="198"/>
      <c r="K267" s="198"/>
      <c r="L267" s="198"/>
      <c r="M267" s="198"/>
      <c r="N267" s="201"/>
      <c r="O267" s="201"/>
      <c r="P267" s="198"/>
      <c r="Q267" s="198"/>
      <c r="R267" s="198"/>
      <c r="S267" s="198"/>
      <c r="T267" s="198"/>
      <c r="U267" s="198"/>
      <c r="V267" s="201"/>
      <c r="W267" s="198"/>
      <c r="X267" s="198"/>
      <c r="Y267" s="198"/>
      <c r="Z267" s="198"/>
      <c r="AA267" s="198"/>
      <c r="AB267" s="198"/>
      <c r="AC267" s="120"/>
      <c r="AD267" s="115"/>
      <c r="AE267" s="115"/>
      <c r="AF267" s="115"/>
      <c r="AG267" s="115"/>
      <c r="AH267" s="115"/>
      <c r="AI267" s="115"/>
      <c r="AJ267" s="115"/>
      <c r="AK267" s="115"/>
      <c r="AL267" s="115"/>
      <c r="AM267" s="115"/>
      <c r="AN267" s="115"/>
      <c r="AO267" s="115"/>
      <c r="AP267" s="115"/>
      <c r="AQ267" s="115"/>
      <c r="AR267" s="115"/>
      <c r="AS267" s="115"/>
      <c r="AT267" s="115"/>
      <c r="AU267" s="115"/>
      <c r="AV267" s="115"/>
    </row>
    <row r="268" spans="2:48" x14ac:dyDescent="0.2">
      <c r="C268" s="198"/>
      <c r="D268" s="198"/>
      <c r="E268" s="198"/>
      <c r="F268" s="198"/>
      <c r="G268" s="198"/>
      <c r="H268" s="198"/>
      <c r="I268" s="198"/>
      <c r="J268" s="198"/>
      <c r="K268" s="198"/>
      <c r="L268" s="198"/>
      <c r="M268" s="198"/>
      <c r="N268" s="201"/>
      <c r="O268" s="201"/>
      <c r="P268" s="198"/>
      <c r="Q268" s="198"/>
      <c r="R268" s="198"/>
      <c r="S268" s="198"/>
      <c r="T268" s="198"/>
      <c r="U268" s="198"/>
      <c r="V268" s="201"/>
      <c r="W268" s="198"/>
      <c r="X268" s="198"/>
      <c r="Y268" s="198"/>
      <c r="Z268" s="198"/>
      <c r="AA268" s="198"/>
      <c r="AB268" s="198"/>
      <c r="AC268" s="120"/>
      <c r="AD268" s="115"/>
      <c r="AE268" s="115"/>
      <c r="AF268" s="115"/>
      <c r="AG268" s="115"/>
      <c r="AH268" s="115"/>
      <c r="AI268" s="115"/>
      <c r="AJ268" s="115"/>
      <c r="AK268" s="115"/>
      <c r="AL268" s="115"/>
      <c r="AM268" s="115"/>
      <c r="AN268" s="115"/>
      <c r="AO268" s="115"/>
      <c r="AP268" s="115"/>
      <c r="AQ268" s="115"/>
      <c r="AR268" s="115"/>
      <c r="AS268" s="115"/>
      <c r="AT268" s="115"/>
      <c r="AU268" s="115"/>
      <c r="AV268" s="115"/>
    </row>
    <row r="269" spans="2:48" x14ac:dyDescent="0.2">
      <c r="C269" s="198"/>
      <c r="D269" s="198"/>
      <c r="E269" s="198"/>
      <c r="F269" s="198"/>
      <c r="G269" s="198"/>
      <c r="H269" s="198"/>
      <c r="I269" s="198"/>
      <c r="J269" s="198"/>
      <c r="K269" s="198"/>
      <c r="L269" s="198"/>
      <c r="M269" s="198"/>
      <c r="N269" s="201"/>
      <c r="O269" s="201"/>
      <c r="P269" s="198"/>
      <c r="Q269" s="198"/>
      <c r="R269" s="198"/>
      <c r="S269" s="198"/>
      <c r="T269" s="198"/>
      <c r="U269" s="198"/>
      <c r="V269" s="201"/>
      <c r="W269" s="198"/>
      <c r="X269" s="198"/>
      <c r="Y269" s="198"/>
      <c r="Z269" s="198"/>
      <c r="AA269" s="198"/>
      <c r="AB269" s="198"/>
      <c r="AC269" s="120"/>
      <c r="AD269" s="115"/>
      <c r="AE269" s="115"/>
      <c r="AF269" s="115"/>
      <c r="AG269" s="115"/>
      <c r="AH269" s="115"/>
      <c r="AI269" s="115"/>
      <c r="AJ269" s="115"/>
      <c r="AK269" s="115"/>
      <c r="AL269" s="115"/>
      <c r="AM269" s="115"/>
      <c r="AN269" s="115"/>
      <c r="AO269" s="115"/>
    </row>
    <row r="270" spans="2:48" x14ac:dyDescent="0.2">
      <c r="C270" s="198"/>
      <c r="D270" s="198"/>
      <c r="E270" s="198"/>
      <c r="F270" s="198"/>
      <c r="G270" s="198"/>
      <c r="H270" s="198"/>
      <c r="I270" s="198"/>
      <c r="J270" s="198"/>
      <c r="K270" s="198"/>
      <c r="L270" s="198"/>
      <c r="M270" s="198"/>
      <c r="N270" s="201"/>
      <c r="O270" s="201"/>
      <c r="P270" s="198"/>
      <c r="Q270" s="198"/>
      <c r="R270" s="198"/>
      <c r="S270" s="198"/>
      <c r="T270" s="198"/>
      <c r="U270" s="198"/>
      <c r="V270" s="201"/>
      <c r="W270" s="198"/>
      <c r="X270" s="198"/>
      <c r="Y270" s="198"/>
      <c r="Z270" s="198"/>
      <c r="AA270" s="198"/>
      <c r="AB270" s="198"/>
      <c r="AC270" s="120"/>
      <c r="AD270" s="115"/>
      <c r="AE270" s="115"/>
      <c r="AF270" s="115"/>
      <c r="AG270" s="115"/>
      <c r="AH270" s="115"/>
      <c r="AI270" s="115"/>
      <c r="AJ270" s="115"/>
      <c r="AK270" s="115"/>
      <c r="AL270" s="115"/>
      <c r="AM270" s="115"/>
      <c r="AN270" s="115"/>
      <c r="AO270" s="115"/>
    </row>
    <row r="271" spans="2:48" x14ac:dyDescent="0.2">
      <c r="C271" s="198"/>
      <c r="D271" s="198"/>
      <c r="E271" s="198"/>
      <c r="F271" s="198"/>
      <c r="G271" s="198"/>
      <c r="H271" s="198"/>
      <c r="I271" s="198"/>
      <c r="J271" s="198"/>
      <c r="K271" s="198"/>
      <c r="L271" s="198"/>
      <c r="M271" s="198"/>
      <c r="N271" s="201"/>
      <c r="O271" s="201"/>
      <c r="P271" s="198"/>
      <c r="Q271" s="198"/>
      <c r="R271" s="198"/>
      <c r="S271" s="198"/>
      <c r="T271" s="198"/>
      <c r="U271" s="198"/>
      <c r="V271" s="201"/>
      <c r="W271" s="198"/>
      <c r="X271" s="198"/>
      <c r="Y271" s="198"/>
      <c r="Z271" s="198"/>
      <c r="AA271" s="198"/>
      <c r="AB271" s="198"/>
      <c r="AC271" s="120"/>
      <c r="AD271" s="115"/>
      <c r="AE271" s="115"/>
      <c r="AF271" s="115"/>
      <c r="AG271" s="115"/>
      <c r="AH271" s="115"/>
      <c r="AI271" s="115"/>
      <c r="AJ271" s="115"/>
      <c r="AK271" s="115"/>
      <c r="AL271" s="115"/>
      <c r="AM271" s="115"/>
      <c r="AN271" s="115"/>
      <c r="AO271" s="115"/>
    </row>
    <row r="272" spans="2:48" x14ac:dyDescent="0.2">
      <c r="C272" s="198"/>
      <c r="D272" s="198"/>
      <c r="E272" s="198"/>
      <c r="F272" s="198"/>
      <c r="G272" s="198"/>
      <c r="H272" s="198"/>
      <c r="I272" s="198"/>
      <c r="J272" s="198"/>
      <c r="K272" s="198"/>
      <c r="L272" s="198"/>
      <c r="M272" s="198"/>
      <c r="N272" s="201"/>
      <c r="O272" s="201"/>
      <c r="P272" s="198"/>
      <c r="Q272" s="198"/>
      <c r="R272" s="198"/>
      <c r="S272" s="198"/>
      <c r="T272" s="198"/>
      <c r="U272" s="198"/>
      <c r="V272" s="201"/>
      <c r="W272" s="198"/>
      <c r="X272" s="198"/>
      <c r="Y272" s="198"/>
      <c r="Z272" s="198"/>
      <c r="AA272" s="198"/>
      <c r="AB272" s="198"/>
      <c r="AC272" s="120"/>
      <c r="AD272" s="115"/>
      <c r="AE272" s="115"/>
      <c r="AF272" s="115"/>
      <c r="AG272" s="115"/>
      <c r="AH272" s="115"/>
      <c r="AI272" s="115"/>
      <c r="AJ272" s="115"/>
      <c r="AK272" s="115"/>
      <c r="AL272" s="115"/>
      <c r="AM272" s="115"/>
      <c r="AN272" s="115"/>
      <c r="AO272" s="115"/>
    </row>
    <row r="273" spans="3:41" x14ac:dyDescent="0.2">
      <c r="C273" s="198"/>
      <c r="D273" s="198"/>
      <c r="E273" s="198"/>
      <c r="F273" s="198"/>
      <c r="G273" s="198"/>
      <c r="H273" s="198"/>
      <c r="I273" s="198"/>
      <c r="J273" s="198"/>
      <c r="K273" s="198"/>
      <c r="L273" s="198"/>
      <c r="M273" s="198"/>
      <c r="N273" s="201"/>
      <c r="O273" s="201"/>
      <c r="P273" s="198"/>
      <c r="Q273" s="198"/>
      <c r="R273" s="198"/>
      <c r="S273" s="198"/>
      <c r="T273" s="198"/>
      <c r="U273" s="198"/>
      <c r="V273" s="201"/>
      <c r="W273" s="198"/>
      <c r="X273" s="198"/>
      <c r="Y273" s="198"/>
      <c r="Z273" s="198"/>
      <c r="AA273" s="198"/>
      <c r="AB273" s="198"/>
      <c r="AC273" s="120"/>
      <c r="AD273" s="115"/>
      <c r="AE273" s="115"/>
      <c r="AF273" s="115"/>
      <c r="AG273" s="115"/>
      <c r="AH273" s="115"/>
      <c r="AI273" s="115"/>
      <c r="AJ273" s="115"/>
      <c r="AK273" s="115"/>
      <c r="AL273" s="115"/>
      <c r="AM273" s="115"/>
      <c r="AN273" s="115"/>
      <c r="AO273" s="115"/>
    </row>
    <row r="274" spans="3:41" x14ac:dyDescent="0.2">
      <c r="C274" s="198"/>
      <c r="D274" s="198"/>
      <c r="E274" s="198"/>
      <c r="F274" s="198"/>
      <c r="G274" s="198"/>
      <c r="H274" s="198"/>
      <c r="I274" s="198"/>
      <c r="J274" s="198"/>
      <c r="K274" s="198"/>
      <c r="L274" s="198"/>
      <c r="M274" s="198"/>
      <c r="N274" s="201"/>
      <c r="O274" s="201"/>
      <c r="P274" s="198"/>
      <c r="Q274" s="198"/>
      <c r="R274" s="198"/>
      <c r="S274" s="198"/>
      <c r="T274" s="198"/>
      <c r="U274" s="198"/>
      <c r="V274" s="201"/>
      <c r="W274" s="198"/>
      <c r="X274" s="198"/>
      <c r="Y274" s="198"/>
      <c r="Z274" s="198"/>
      <c r="AA274" s="198"/>
      <c r="AB274" s="198"/>
      <c r="AC274" s="103"/>
      <c r="AD274" s="115"/>
      <c r="AE274" s="115"/>
      <c r="AF274" s="115"/>
      <c r="AG274" s="115"/>
      <c r="AH274" s="115"/>
      <c r="AI274" s="115"/>
      <c r="AJ274" s="115"/>
      <c r="AK274" s="115"/>
      <c r="AL274" s="115"/>
      <c r="AM274" s="115"/>
      <c r="AN274" s="115"/>
      <c r="AO274" s="115"/>
    </row>
    <row r="275" spans="3:41" x14ac:dyDescent="0.2">
      <c r="C275" s="198"/>
      <c r="D275" s="198"/>
      <c r="E275" s="198"/>
      <c r="F275" s="198"/>
      <c r="G275" s="198"/>
      <c r="H275" s="198"/>
      <c r="I275" s="198"/>
      <c r="J275" s="198"/>
      <c r="K275" s="198"/>
      <c r="L275" s="198"/>
      <c r="M275" s="198"/>
      <c r="N275" s="201"/>
      <c r="O275" s="201"/>
      <c r="P275" s="198"/>
      <c r="Q275" s="198"/>
      <c r="R275" s="198"/>
      <c r="S275" s="198"/>
      <c r="T275" s="198"/>
      <c r="U275" s="198"/>
      <c r="V275" s="201"/>
      <c r="W275" s="198"/>
      <c r="X275" s="198"/>
      <c r="Y275" s="198"/>
      <c r="Z275" s="198"/>
      <c r="AA275" s="198"/>
      <c r="AB275" s="198"/>
      <c r="AC275" s="103"/>
      <c r="AD275" s="115"/>
      <c r="AE275" s="115"/>
      <c r="AF275" s="115"/>
      <c r="AG275" s="115"/>
      <c r="AH275" s="115"/>
      <c r="AI275" s="115"/>
      <c r="AJ275" s="115"/>
      <c r="AK275" s="115"/>
      <c r="AL275" s="115"/>
      <c r="AM275" s="115"/>
      <c r="AN275" s="115"/>
      <c r="AO275" s="115"/>
    </row>
    <row r="276" spans="3:41" x14ac:dyDescent="0.2">
      <c r="C276" s="198"/>
      <c r="D276" s="198"/>
      <c r="E276" s="198"/>
      <c r="F276" s="198"/>
      <c r="G276" s="198"/>
      <c r="H276" s="198"/>
      <c r="I276" s="198"/>
      <c r="J276" s="198"/>
      <c r="K276" s="198"/>
      <c r="L276" s="198"/>
      <c r="M276" s="198"/>
      <c r="N276" s="201"/>
      <c r="O276" s="201"/>
      <c r="P276" s="198"/>
      <c r="Q276" s="198"/>
      <c r="R276" s="198"/>
      <c r="S276" s="198"/>
      <c r="T276" s="198"/>
      <c r="U276" s="198"/>
      <c r="V276" s="201"/>
      <c r="W276" s="198"/>
      <c r="X276" s="198"/>
      <c r="Y276" s="198"/>
      <c r="Z276" s="198"/>
      <c r="AA276" s="198"/>
      <c r="AB276" s="198"/>
      <c r="AC276" s="103"/>
      <c r="AD276" s="115"/>
      <c r="AE276" s="115"/>
      <c r="AF276" s="115"/>
      <c r="AG276" s="115"/>
      <c r="AH276" s="115"/>
      <c r="AI276" s="115"/>
      <c r="AJ276" s="115"/>
      <c r="AK276" s="115"/>
      <c r="AL276" s="115"/>
      <c r="AM276" s="115"/>
      <c r="AN276" s="115"/>
      <c r="AO276" s="115"/>
    </row>
    <row r="277" spans="3:41" x14ac:dyDescent="0.2">
      <c r="C277" s="198"/>
      <c r="D277" s="198"/>
      <c r="E277" s="198"/>
      <c r="F277" s="198"/>
      <c r="G277" s="198"/>
      <c r="H277" s="198"/>
      <c r="I277" s="198"/>
      <c r="J277" s="198"/>
      <c r="K277" s="198"/>
      <c r="L277" s="198"/>
      <c r="M277" s="198"/>
      <c r="N277" s="201"/>
      <c r="O277" s="201"/>
      <c r="P277" s="198"/>
      <c r="Q277" s="198"/>
      <c r="R277" s="198"/>
      <c r="S277" s="198"/>
      <c r="T277" s="198"/>
      <c r="U277" s="198"/>
      <c r="V277" s="201"/>
      <c r="W277" s="198"/>
      <c r="X277" s="198"/>
      <c r="Y277" s="198"/>
      <c r="Z277" s="198"/>
      <c r="AA277" s="198"/>
      <c r="AB277" s="198"/>
      <c r="AC277" s="103"/>
      <c r="AD277" s="115"/>
      <c r="AE277" s="115"/>
      <c r="AF277" s="115"/>
      <c r="AG277" s="115"/>
      <c r="AH277" s="115"/>
      <c r="AI277" s="115"/>
      <c r="AJ277" s="115"/>
      <c r="AK277" s="115"/>
      <c r="AL277" s="115"/>
      <c r="AM277" s="115"/>
      <c r="AN277" s="115"/>
      <c r="AO277" s="115"/>
    </row>
    <row r="278" spans="3:41" x14ac:dyDescent="0.2">
      <c r="C278" s="198"/>
      <c r="D278" s="198"/>
      <c r="E278" s="198"/>
      <c r="F278" s="198"/>
      <c r="G278" s="198"/>
      <c r="H278" s="198"/>
      <c r="I278" s="198"/>
      <c r="J278" s="198"/>
      <c r="K278" s="198"/>
      <c r="L278" s="198"/>
      <c r="M278" s="198"/>
      <c r="N278" s="201"/>
      <c r="O278" s="201"/>
      <c r="P278" s="198"/>
      <c r="Q278" s="198"/>
      <c r="R278" s="198"/>
      <c r="S278" s="198"/>
      <c r="T278" s="198"/>
      <c r="U278" s="198"/>
      <c r="V278" s="201"/>
      <c r="W278" s="198"/>
      <c r="X278" s="198"/>
      <c r="Y278" s="198"/>
      <c r="Z278" s="198"/>
      <c r="AA278" s="198"/>
      <c r="AB278" s="198"/>
      <c r="AC278" s="103"/>
      <c r="AD278" s="115"/>
      <c r="AE278" s="115"/>
      <c r="AF278" s="115"/>
      <c r="AG278" s="115"/>
      <c r="AH278" s="115"/>
      <c r="AI278" s="115"/>
      <c r="AJ278" s="115"/>
      <c r="AK278" s="115"/>
      <c r="AL278" s="115"/>
      <c r="AM278" s="115"/>
      <c r="AN278" s="115"/>
      <c r="AO278" s="115"/>
    </row>
    <row r="279" spans="3:41" x14ac:dyDescent="0.2">
      <c r="C279" s="198"/>
      <c r="D279" s="198"/>
      <c r="E279" s="198"/>
      <c r="F279" s="198"/>
      <c r="G279" s="198"/>
      <c r="H279" s="198"/>
      <c r="I279" s="198"/>
      <c r="J279" s="198"/>
      <c r="K279" s="198"/>
      <c r="L279" s="198"/>
      <c r="M279" s="198"/>
      <c r="N279" s="201"/>
      <c r="O279" s="201"/>
      <c r="P279" s="198"/>
      <c r="Q279" s="198"/>
      <c r="R279" s="198"/>
      <c r="S279" s="198"/>
      <c r="T279" s="198"/>
      <c r="U279" s="198"/>
      <c r="V279" s="201"/>
      <c r="W279" s="198"/>
      <c r="X279" s="198"/>
      <c r="Y279" s="198"/>
      <c r="Z279" s="198"/>
      <c r="AA279" s="198"/>
      <c r="AB279" s="198"/>
      <c r="AC279" s="103"/>
      <c r="AD279" s="115"/>
      <c r="AE279" s="115"/>
      <c r="AF279" s="115"/>
      <c r="AG279" s="115"/>
      <c r="AH279" s="115"/>
      <c r="AI279" s="115"/>
      <c r="AJ279" s="115"/>
      <c r="AK279" s="115"/>
      <c r="AL279" s="115"/>
      <c r="AM279" s="115"/>
      <c r="AN279" s="115"/>
      <c r="AO279" s="115"/>
    </row>
    <row r="280" spans="3:41" x14ac:dyDescent="0.2">
      <c r="C280" s="198"/>
      <c r="D280" s="198"/>
      <c r="E280" s="198"/>
      <c r="F280" s="198"/>
      <c r="G280" s="198"/>
      <c r="H280" s="198"/>
      <c r="I280" s="198"/>
      <c r="J280" s="198"/>
      <c r="K280" s="198"/>
      <c r="L280" s="198"/>
      <c r="M280" s="198"/>
      <c r="N280" s="201"/>
      <c r="O280" s="201"/>
      <c r="P280" s="198"/>
      <c r="Q280" s="198"/>
      <c r="R280" s="198"/>
      <c r="S280" s="198"/>
      <c r="T280" s="198"/>
      <c r="U280" s="198"/>
      <c r="V280" s="201"/>
      <c r="W280" s="198"/>
      <c r="X280" s="198"/>
      <c r="Y280" s="198"/>
      <c r="Z280" s="198"/>
      <c r="AA280" s="198"/>
      <c r="AB280" s="198"/>
      <c r="AC280" s="103"/>
      <c r="AD280" s="115"/>
      <c r="AE280" s="115"/>
      <c r="AF280" s="115"/>
      <c r="AG280" s="115"/>
      <c r="AH280" s="115"/>
      <c r="AI280" s="115"/>
      <c r="AJ280" s="115"/>
      <c r="AK280" s="115"/>
      <c r="AL280" s="115"/>
      <c r="AM280" s="115"/>
      <c r="AN280" s="115"/>
      <c r="AO280" s="115"/>
    </row>
    <row r="281" spans="3:41" x14ac:dyDescent="0.2">
      <c r="C281" s="198"/>
      <c r="D281" s="198"/>
      <c r="E281" s="198"/>
      <c r="F281" s="198"/>
      <c r="G281" s="198"/>
      <c r="H281" s="198"/>
      <c r="I281" s="198"/>
      <c r="J281" s="198"/>
      <c r="K281" s="198"/>
      <c r="L281" s="198"/>
      <c r="M281" s="198"/>
      <c r="N281" s="201"/>
      <c r="O281" s="201"/>
      <c r="P281" s="198"/>
      <c r="Q281" s="198"/>
      <c r="R281" s="198"/>
      <c r="S281" s="198"/>
      <c r="T281" s="198"/>
      <c r="U281" s="198"/>
      <c r="V281" s="201"/>
      <c r="W281" s="198"/>
      <c r="X281" s="198"/>
      <c r="Y281" s="198"/>
      <c r="Z281" s="198"/>
      <c r="AA281" s="198"/>
      <c r="AB281" s="198"/>
      <c r="AC281" s="198"/>
      <c r="AD281" s="115"/>
      <c r="AE281" s="115"/>
      <c r="AF281" s="115"/>
      <c r="AG281" s="115"/>
      <c r="AH281" s="115"/>
      <c r="AI281" s="115"/>
      <c r="AJ281" s="115"/>
      <c r="AK281" s="115"/>
      <c r="AL281" s="115"/>
      <c r="AM281" s="115"/>
      <c r="AN281" s="115"/>
      <c r="AO281" s="115"/>
    </row>
    <row r="282" spans="3:41" x14ac:dyDescent="0.2">
      <c r="C282" s="198"/>
      <c r="D282" s="198"/>
      <c r="E282" s="198"/>
      <c r="F282" s="198"/>
      <c r="G282" s="198"/>
      <c r="H282" s="198"/>
      <c r="I282" s="198"/>
      <c r="J282" s="198"/>
      <c r="K282" s="198"/>
      <c r="L282" s="198"/>
      <c r="M282" s="198"/>
      <c r="N282" s="201"/>
      <c r="O282" s="201"/>
      <c r="P282" s="198"/>
      <c r="Q282" s="198"/>
      <c r="R282" s="198"/>
      <c r="S282" s="198"/>
      <c r="T282" s="198"/>
      <c r="U282" s="198"/>
      <c r="V282" s="201"/>
      <c r="W282" s="198"/>
      <c r="X282" s="198"/>
      <c r="Y282" s="198"/>
      <c r="Z282" s="198"/>
      <c r="AA282" s="198"/>
      <c r="AB282" s="198"/>
      <c r="AC282" s="198"/>
      <c r="AD282" s="115"/>
      <c r="AE282" s="115"/>
      <c r="AF282" s="115"/>
      <c r="AG282" s="115"/>
      <c r="AH282" s="115"/>
      <c r="AI282" s="115"/>
      <c r="AJ282" s="115"/>
      <c r="AK282" s="115"/>
      <c r="AL282" s="115"/>
      <c r="AM282" s="115"/>
      <c r="AN282" s="115"/>
      <c r="AO282" s="115"/>
    </row>
    <row r="283" spans="3:41" x14ac:dyDescent="0.2">
      <c r="C283" s="198"/>
      <c r="D283" s="198"/>
      <c r="E283" s="198"/>
      <c r="F283" s="198"/>
      <c r="G283" s="198"/>
      <c r="H283" s="198"/>
      <c r="I283" s="198"/>
      <c r="J283" s="198"/>
      <c r="K283" s="198"/>
      <c r="L283" s="198"/>
      <c r="M283" s="198"/>
      <c r="N283" s="201"/>
      <c r="O283" s="201"/>
      <c r="P283" s="198"/>
      <c r="Q283" s="198"/>
      <c r="R283" s="198"/>
      <c r="S283" s="198"/>
      <c r="T283" s="198"/>
      <c r="U283" s="198"/>
      <c r="V283" s="201"/>
      <c r="W283" s="198"/>
      <c r="X283" s="198"/>
      <c r="Y283" s="198"/>
      <c r="Z283" s="198"/>
      <c r="AA283" s="198"/>
      <c r="AB283" s="198"/>
      <c r="AC283" s="198"/>
      <c r="AD283" s="115"/>
      <c r="AE283" s="115"/>
      <c r="AF283" s="115"/>
      <c r="AG283" s="115"/>
      <c r="AH283" s="115"/>
      <c r="AI283" s="115"/>
      <c r="AJ283" s="115"/>
      <c r="AK283" s="115"/>
      <c r="AL283" s="115"/>
      <c r="AM283" s="115"/>
      <c r="AN283" s="115"/>
      <c r="AO283" s="115"/>
    </row>
    <row r="284" spans="3:41" x14ac:dyDescent="0.2">
      <c r="C284" s="198"/>
      <c r="D284" s="198"/>
      <c r="E284" s="198"/>
      <c r="F284" s="198"/>
      <c r="G284" s="198"/>
      <c r="H284" s="198"/>
      <c r="I284" s="198"/>
      <c r="J284" s="198"/>
      <c r="K284" s="198"/>
      <c r="L284" s="198"/>
      <c r="M284" s="198"/>
      <c r="N284" s="201"/>
      <c r="O284" s="201"/>
      <c r="P284" s="198"/>
      <c r="Q284" s="198"/>
      <c r="R284" s="198"/>
      <c r="S284" s="198"/>
      <c r="T284" s="198"/>
      <c r="U284" s="198"/>
      <c r="V284" s="201"/>
      <c r="W284" s="198"/>
      <c r="X284" s="198"/>
      <c r="Y284" s="198"/>
      <c r="Z284" s="198"/>
      <c r="AA284" s="198"/>
      <c r="AB284" s="198"/>
      <c r="AC284" s="198"/>
      <c r="AD284" s="115"/>
      <c r="AE284" s="115"/>
      <c r="AF284" s="115"/>
      <c r="AG284" s="115"/>
      <c r="AH284" s="115"/>
      <c r="AI284" s="115"/>
      <c r="AJ284" s="115"/>
      <c r="AK284" s="115"/>
      <c r="AL284" s="115"/>
      <c r="AM284" s="115"/>
      <c r="AN284" s="115"/>
      <c r="AO284" s="115"/>
    </row>
    <row r="285" spans="3:41" x14ac:dyDescent="0.2">
      <c r="C285" s="198"/>
      <c r="D285" s="198"/>
      <c r="E285" s="198"/>
      <c r="F285" s="198"/>
      <c r="G285" s="198"/>
      <c r="H285" s="198"/>
      <c r="I285" s="198"/>
      <c r="J285" s="198"/>
      <c r="K285" s="198"/>
      <c r="L285" s="198"/>
      <c r="M285" s="198"/>
      <c r="N285" s="201"/>
      <c r="O285" s="201"/>
      <c r="P285" s="198"/>
      <c r="Q285" s="198"/>
      <c r="R285" s="198"/>
      <c r="S285" s="198"/>
      <c r="T285" s="198"/>
      <c r="U285" s="198"/>
      <c r="V285" s="201"/>
      <c r="W285" s="198"/>
      <c r="X285" s="198"/>
      <c r="Y285" s="198"/>
      <c r="Z285" s="198"/>
      <c r="AA285" s="198"/>
      <c r="AB285" s="198"/>
      <c r="AC285" s="198"/>
      <c r="AD285" s="115"/>
      <c r="AE285" s="115"/>
      <c r="AF285" s="115"/>
      <c r="AG285" s="115"/>
      <c r="AH285" s="115"/>
      <c r="AI285" s="115"/>
      <c r="AJ285" s="115"/>
      <c r="AK285" s="115"/>
      <c r="AL285" s="115"/>
      <c r="AM285" s="115"/>
      <c r="AN285" s="115"/>
      <c r="AO285" s="115"/>
    </row>
    <row r="286" spans="3:41" x14ac:dyDescent="0.2">
      <c r="C286" s="198"/>
      <c r="D286" s="198"/>
      <c r="E286" s="198"/>
      <c r="F286" s="198"/>
      <c r="G286" s="198"/>
      <c r="H286" s="198"/>
      <c r="I286" s="198"/>
      <c r="J286" s="198"/>
      <c r="K286" s="198"/>
      <c r="L286" s="198"/>
      <c r="M286" s="198"/>
      <c r="N286" s="201"/>
      <c r="O286" s="201"/>
      <c r="P286" s="198"/>
      <c r="Q286" s="198"/>
      <c r="R286" s="198"/>
      <c r="S286" s="198"/>
      <c r="T286" s="198"/>
      <c r="U286" s="198"/>
      <c r="V286" s="201"/>
      <c r="W286" s="198"/>
      <c r="X286" s="198"/>
      <c r="Y286" s="198"/>
      <c r="Z286" s="198"/>
      <c r="AA286" s="198"/>
      <c r="AB286" s="198"/>
      <c r="AC286" s="198"/>
      <c r="AD286" s="115"/>
      <c r="AE286" s="115"/>
      <c r="AF286" s="115"/>
      <c r="AG286" s="115"/>
      <c r="AH286" s="115"/>
      <c r="AI286" s="115"/>
      <c r="AJ286" s="115"/>
      <c r="AK286" s="115"/>
      <c r="AL286" s="115"/>
      <c r="AM286" s="115"/>
      <c r="AN286" s="115"/>
      <c r="AO286" s="115"/>
    </row>
    <row r="287" spans="3:41" x14ac:dyDescent="0.2">
      <c r="C287" s="198"/>
      <c r="D287" s="198"/>
      <c r="E287" s="198"/>
      <c r="F287" s="198"/>
      <c r="G287" s="198"/>
      <c r="H287" s="198"/>
      <c r="I287" s="198"/>
      <c r="J287" s="198"/>
      <c r="K287" s="198"/>
      <c r="L287" s="198"/>
      <c r="M287" s="198"/>
      <c r="N287" s="201"/>
      <c r="O287" s="201"/>
      <c r="P287" s="198"/>
      <c r="Q287" s="198"/>
      <c r="R287" s="198"/>
      <c r="S287" s="198"/>
      <c r="T287" s="198"/>
      <c r="U287" s="198"/>
      <c r="V287" s="201"/>
      <c r="W287" s="198"/>
      <c r="X287" s="198"/>
      <c r="Y287" s="198"/>
      <c r="Z287" s="198"/>
      <c r="AA287" s="198"/>
      <c r="AB287" s="198"/>
      <c r="AC287" s="198"/>
      <c r="AD287" s="115"/>
      <c r="AE287" s="115"/>
      <c r="AF287" s="115"/>
      <c r="AG287" s="115"/>
      <c r="AH287" s="115"/>
      <c r="AI287" s="115"/>
      <c r="AJ287" s="115"/>
      <c r="AK287" s="115"/>
      <c r="AL287" s="115"/>
      <c r="AM287" s="115"/>
      <c r="AN287" s="115"/>
      <c r="AO287" s="115"/>
    </row>
    <row r="288" spans="3:41" x14ac:dyDescent="0.2">
      <c r="C288" s="198"/>
      <c r="D288" s="198"/>
      <c r="E288" s="198"/>
      <c r="F288" s="198"/>
      <c r="G288" s="198"/>
      <c r="H288" s="198"/>
      <c r="I288" s="198"/>
      <c r="J288" s="198"/>
      <c r="K288" s="198"/>
      <c r="L288" s="198"/>
      <c r="M288" s="198"/>
      <c r="N288" s="201"/>
      <c r="O288" s="201"/>
      <c r="P288" s="198"/>
      <c r="Q288" s="198"/>
      <c r="R288" s="198"/>
      <c r="S288" s="198"/>
      <c r="T288" s="198"/>
      <c r="U288" s="198"/>
      <c r="V288" s="201"/>
      <c r="W288" s="198"/>
      <c r="X288" s="198"/>
      <c r="Y288" s="198"/>
      <c r="Z288" s="198"/>
      <c r="AA288" s="198"/>
      <c r="AB288" s="198"/>
      <c r="AC288" s="198"/>
      <c r="AD288" s="115"/>
      <c r="AE288" s="115"/>
      <c r="AF288" s="115"/>
      <c r="AG288" s="115"/>
      <c r="AH288" s="115"/>
      <c r="AI288" s="115"/>
      <c r="AJ288" s="115"/>
      <c r="AK288" s="115"/>
      <c r="AL288" s="115"/>
      <c r="AM288" s="115"/>
      <c r="AN288" s="115"/>
      <c r="AO288" s="115"/>
    </row>
    <row r="289" spans="3:41" x14ac:dyDescent="0.2">
      <c r="C289" s="198"/>
      <c r="D289" s="198"/>
      <c r="E289" s="198"/>
      <c r="F289" s="198"/>
      <c r="G289" s="198"/>
      <c r="H289" s="198"/>
      <c r="I289" s="198"/>
      <c r="J289" s="198"/>
      <c r="K289" s="198"/>
      <c r="L289" s="198"/>
      <c r="M289" s="198"/>
      <c r="N289" s="201"/>
      <c r="O289" s="201"/>
      <c r="P289" s="198"/>
      <c r="Q289" s="198"/>
      <c r="R289" s="198"/>
      <c r="S289" s="198"/>
      <c r="T289" s="198"/>
      <c r="U289" s="198"/>
      <c r="V289" s="201"/>
      <c r="W289" s="198"/>
      <c r="X289" s="198"/>
      <c r="Y289" s="198"/>
      <c r="Z289" s="198"/>
      <c r="AA289" s="198"/>
      <c r="AB289" s="198"/>
      <c r="AC289" s="198"/>
      <c r="AD289" s="115"/>
      <c r="AE289" s="115"/>
      <c r="AF289" s="115"/>
      <c r="AG289" s="115"/>
      <c r="AH289" s="115"/>
      <c r="AI289" s="115"/>
      <c r="AJ289" s="115"/>
      <c r="AK289" s="115"/>
      <c r="AL289" s="115"/>
      <c r="AM289" s="115"/>
      <c r="AN289" s="115"/>
      <c r="AO289" s="115"/>
    </row>
    <row r="290" spans="3:41" x14ac:dyDescent="0.2">
      <c r="C290" s="198"/>
      <c r="D290" s="198"/>
      <c r="E290" s="198"/>
      <c r="F290" s="198"/>
      <c r="G290" s="198"/>
      <c r="H290" s="198"/>
      <c r="I290" s="198"/>
      <c r="J290" s="198"/>
      <c r="K290" s="198"/>
      <c r="L290" s="198"/>
      <c r="M290" s="198"/>
      <c r="N290" s="201"/>
      <c r="O290" s="201"/>
      <c r="P290" s="198"/>
      <c r="Q290" s="198"/>
      <c r="R290" s="198"/>
      <c r="S290" s="198"/>
      <c r="T290" s="198"/>
      <c r="U290" s="198"/>
      <c r="V290" s="201"/>
      <c r="W290" s="198"/>
      <c r="X290" s="198"/>
      <c r="Y290" s="198"/>
      <c r="Z290" s="198"/>
      <c r="AA290" s="198"/>
      <c r="AB290" s="198"/>
      <c r="AC290" s="198"/>
      <c r="AD290" s="115"/>
      <c r="AE290" s="115"/>
      <c r="AF290" s="115"/>
      <c r="AG290" s="115"/>
      <c r="AH290" s="115"/>
      <c r="AI290" s="115"/>
      <c r="AJ290" s="115"/>
      <c r="AK290" s="115"/>
      <c r="AL290" s="115"/>
      <c r="AM290" s="115"/>
      <c r="AN290" s="115"/>
      <c r="AO290" s="115"/>
    </row>
    <row r="291" spans="3:41" x14ac:dyDescent="0.2">
      <c r="C291" s="198"/>
      <c r="D291" s="198"/>
      <c r="E291" s="198"/>
      <c r="F291" s="198"/>
      <c r="G291" s="198"/>
      <c r="H291" s="198"/>
      <c r="I291" s="198"/>
      <c r="J291" s="198"/>
      <c r="K291" s="198"/>
      <c r="L291" s="198"/>
      <c r="M291" s="198"/>
      <c r="N291" s="201"/>
      <c r="O291" s="201"/>
      <c r="P291" s="198"/>
      <c r="Q291" s="198"/>
      <c r="R291" s="198"/>
      <c r="S291" s="198"/>
      <c r="T291" s="198"/>
      <c r="U291" s="198"/>
      <c r="V291" s="201"/>
      <c r="W291" s="198"/>
      <c r="X291" s="198"/>
      <c r="Y291" s="198"/>
      <c r="Z291" s="198"/>
      <c r="AA291" s="198"/>
      <c r="AB291" s="198"/>
      <c r="AC291" s="198"/>
      <c r="AD291" s="115"/>
      <c r="AE291" s="115"/>
      <c r="AF291" s="115"/>
      <c r="AG291" s="115"/>
      <c r="AH291" s="115"/>
      <c r="AI291" s="115"/>
      <c r="AJ291" s="115"/>
      <c r="AK291" s="115"/>
      <c r="AL291" s="115"/>
      <c r="AM291" s="115"/>
      <c r="AN291" s="115"/>
      <c r="AO291" s="115"/>
    </row>
    <row r="292" spans="3:41" x14ac:dyDescent="0.2">
      <c r="C292" s="198"/>
      <c r="D292" s="198"/>
      <c r="E292" s="198"/>
      <c r="F292" s="198"/>
      <c r="G292" s="198"/>
      <c r="H292" s="198"/>
      <c r="I292" s="198"/>
      <c r="J292" s="198"/>
      <c r="K292" s="198"/>
      <c r="L292" s="198"/>
      <c r="M292" s="198"/>
      <c r="N292" s="201"/>
      <c r="O292" s="201"/>
      <c r="P292" s="198"/>
      <c r="Q292" s="198"/>
      <c r="R292" s="198"/>
      <c r="S292" s="198"/>
      <c r="T292" s="198"/>
      <c r="U292" s="198"/>
      <c r="V292" s="201"/>
      <c r="W292" s="198"/>
      <c r="X292" s="198"/>
      <c r="Y292" s="198"/>
      <c r="Z292" s="198"/>
      <c r="AA292" s="198"/>
      <c r="AB292" s="198"/>
      <c r="AC292" s="198"/>
      <c r="AD292" s="115"/>
      <c r="AE292" s="115"/>
      <c r="AF292" s="115"/>
      <c r="AG292" s="115"/>
      <c r="AH292" s="115"/>
      <c r="AI292" s="115"/>
      <c r="AJ292" s="115"/>
      <c r="AK292" s="115"/>
      <c r="AL292" s="115"/>
      <c r="AM292" s="115"/>
      <c r="AN292" s="115"/>
      <c r="AO292" s="115"/>
    </row>
    <row r="293" spans="3:41" x14ac:dyDescent="0.2">
      <c r="C293" s="198"/>
      <c r="D293" s="198"/>
      <c r="E293" s="198"/>
      <c r="F293" s="198"/>
      <c r="G293" s="198"/>
      <c r="H293" s="198"/>
      <c r="I293" s="198"/>
      <c r="J293" s="198"/>
      <c r="K293" s="198"/>
      <c r="L293" s="198"/>
      <c r="M293" s="198"/>
      <c r="N293" s="201"/>
      <c r="O293" s="201"/>
      <c r="P293" s="198"/>
      <c r="Q293" s="198"/>
      <c r="R293" s="198"/>
      <c r="S293" s="198"/>
      <c r="T293" s="198"/>
      <c r="U293" s="198"/>
      <c r="V293" s="201"/>
      <c r="W293" s="198"/>
      <c r="X293" s="198"/>
      <c r="Y293" s="198"/>
      <c r="Z293" s="198"/>
      <c r="AA293" s="198"/>
      <c r="AB293" s="198"/>
      <c r="AC293" s="198"/>
      <c r="AD293" s="115"/>
      <c r="AE293" s="115"/>
      <c r="AF293" s="115"/>
      <c r="AG293" s="115"/>
      <c r="AH293" s="115"/>
      <c r="AI293" s="115"/>
      <c r="AJ293" s="115"/>
      <c r="AK293" s="115"/>
      <c r="AL293" s="115"/>
      <c r="AM293" s="115"/>
      <c r="AN293" s="115"/>
      <c r="AO293" s="115"/>
    </row>
    <row r="294" spans="3:41" x14ac:dyDescent="0.2">
      <c r="C294" s="198"/>
      <c r="D294" s="198"/>
      <c r="E294" s="198"/>
      <c r="F294" s="198"/>
      <c r="G294" s="198"/>
      <c r="H294" s="198"/>
      <c r="I294" s="198"/>
      <c r="J294" s="198"/>
      <c r="K294" s="198"/>
      <c r="L294" s="198"/>
      <c r="M294" s="198"/>
      <c r="N294" s="201"/>
      <c r="O294" s="201"/>
      <c r="P294" s="198"/>
      <c r="Q294" s="198"/>
      <c r="R294" s="198"/>
      <c r="S294" s="198"/>
      <c r="T294" s="198"/>
      <c r="U294" s="198"/>
      <c r="V294" s="201"/>
      <c r="W294" s="198"/>
      <c r="X294" s="198"/>
      <c r="Y294" s="198"/>
      <c r="Z294" s="198"/>
      <c r="AA294" s="198"/>
      <c r="AB294" s="198"/>
      <c r="AC294" s="198"/>
      <c r="AD294" s="115"/>
      <c r="AE294" s="115"/>
      <c r="AF294" s="115"/>
      <c r="AG294" s="115"/>
      <c r="AH294" s="115"/>
      <c r="AI294" s="115"/>
      <c r="AJ294" s="115"/>
      <c r="AK294" s="115"/>
      <c r="AL294" s="115"/>
      <c r="AM294" s="115"/>
      <c r="AN294" s="115"/>
      <c r="AO294" s="115"/>
    </row>
    <row r="295" spans="3:41" x14ac:dyDescent="0.2">
      <c r="C295" s="198"/>
      <c r="D295" s="198"/>
      <c r="E295" s="198"/>
      <c r="F295" s="198"/>
      <c r="G295" s="198"/>
      <c r="H295" s="198"/>
      <c r="I295" s="198"/>
      <c r="J295" s="198"/>
      <c r="K295" s="198"/>
      <c r="L295" s="198"/>
      <c r="M295" s="198"/>
      <c r="N295" s="201"/>
      <c r="O295" s="201"/>
      <c r="P295" s="198"/>
      <c r="Q295" s="198"/>
      <c r="R295" s="198"/>
      <c r="S295" s="198"/>
      <c r="T295" s="198"/>
      <c r="U295" s="198"/>
      <c r="V295" s="201"/>
      <c r="W295" s="198"/>
      <c r="X295" s="198"/>
      <c r="Y295" s="198"/>
      <c r="Z295" s="198"/>
      <c r="AA295" s="198"/>
      <c r="AB295" s="198"/>
      <c r="AC295" s="198"/>
      <c r="AD295" s="115"/>
      <c r="AE295" s="115"/>
      <c r="AF295" s="115"/>
      <c r="AG295" s="115"/>
      <c r="AH295" s="115"/>
      <c r="AI295" s="115"/>
      <c r="AJ295" s="115"/>
      <c r="AK295" s="115"/>
      <c r="AL295" s="115"/>
      <c r="AM295" s="115"/>
      <c r="AN295" s="115"/>
      <c r="AO295" s="115"/>
    </row>
    <row r="296" spans="3:41" x14ac:dyDescent="0.2">
      <c r="C296" s="198"/>
      <c r="D296" s="198"/>
      <c r="E296" s="198"/>
      <c r="F296" s="198"/>
      <c r="G296" s="198"/>
      <c r="H296" s="198"/>
      <c r="I296" s="198"/>
      <c r="J296" s="198"/>
      <c r="K296" s="198"/>
      <c r="L296" s="198"/>
      <c r="M296" s="198"/>
      <c r="N296" s="201"/>
      <c r="O296" s="201"/>
      <c r="P296" s="198"/>
      <c r="Q296" s="198"/>
      <c r="R296" s="198"/>
      <c r="S296" s="198"/>
      <c r="T296" s="198"/>
      <c r="U296" s="198"/>
      <c r="V296" s="201"/>
      <c r="W296" s="198"/>
      <c r="X296" s="198"/>
      <c r="Y296" s="198"/>
      <c r="Z296" s="198"/>
      <c r="AA296" s="198"/>
      <c r="AB296" s="198"/>
      <c r="AC296" s="198"/>
      <c r="AD296" s="115"/>
      <c r="AE296" s="115"/>
      <c r="AF296" s="115"/>
      <c r="AG296" s="115"/>
      <c r="AH296" s="115"/>
      <c r="AI296" s="115"/>
      <c r="AJ296" s="115"/>
      <c r="AK296" s="115"/>
      <c r="AL296" s="115"/>
      <c r="AM296" s="115"/>
      <c r="AN296" s="115"/>
      <c r="AO296" s="115"/>
    </row>
    <row r="297" spans="3:41" x14ac:dyDescent="0.2">
      <c r="C297" s="198"/>
      <c r="D297" s="198"/>
      <c r="E297" s="198"/>
      <c r="F297" s="198"/>
      <c r="G297" s="198"/>
      <c r="H297" s="198"/>
      <c r="I297" s="198"/>
      <c r="J297" s="198"/>
      <c r="K297" s="198"/>
      <c r="L297" s="198"/>
      <c r="M297" s="198"/>
      <c r="N297" s="201"/>
      <c r="O297" s="201"/>
      <c r="P297" s="198"/>
      <c r="Q297" s="198"/>
      <c r="R297" s="198"/>
      <c r="S297" s="198"/>
      <c r="T297" s="198"/>
      <c r="U297" s="198"/>
      <c r="V297" s="201"/>
      <c r="W297" s="198"/>
      <c r="X297" s="198"/>
      <c r="Y297" s="198"/>
      <c r="Z297" s="198"/>
      <c r="AA297" s="198"/>
      <c r="AB297" s="198"/>
      <c r="AC297" s="198"/>
      <c r="AD297" s="115"/>
      <c r="AE297" s="115"/>
      <c r="AF297" s="115"/>
      <c r="AG297" s="115"/>
      <c r="AH297" s="115"/>
      <c r="AI297" s="115"/>
      <c r="AJ297" s="115"/>
      <c r="AK297" s="115"/>
      <c r="AL297" s="115"/>
      <c r="AM297" s="115"/>
      <c r="AN297" s="115"/>
      <c r="AO297" s="115"/>
    </row>
    <row r="298" spans="3:41" x14ac:dyDescent="0.2">
      <c r="C298" s="198"/>
      <c r="D298" s="198"/>
      <c r="E298" s="198"/>
      <c r="F298" s="198"/>
      <c r="G298" s="198"/>
      <c r="H298" s="198"/>
      <c r="I298" s="198"/>
      <c r="J298" s="198"/>
      <c r="K298" s="198"/>
      <c r="L298" s="198"/>
      <c r="M298" s="198"/>
      <c r="N298" s="201"/>
      <c r="O298" s="201"/>
      <c r="P298" s="198"/>
      <c r="Q298" s="198"/>
      <c r="R298" s="198"/>
      <c r="S298" s="198"/>
      <c r="T298" s="198"/>
      <c r="U298" s="198"/>
      <c r="V298" s="201"/>
      <c r="W298" s="198"/>
      <c r="X298" s="198"/>
      <c r="Y298" s="198"/>
      <c r="Z298" s="198"/>
      <c r="AA298" s="198"/>
      <c r="AB298" s="198"/>
      <c r="AC298" s="198"/>
      <c r="AD298" s="115"/>
      <c r="AE298" s="115"/>
      <c r="AF298" s="115"/>
      <c r="AG298" s="115"/>
      <c r="AH298" s="115"/>
      <c r="AI298" s="115"/>
      <c r="AJ298" s="115"/>
      <c r="AK298" s="115"/>
      <c r="AL298" s="115"/>
      <c r="AM298" s="115"/>
      <c r="AN298" s="115"/>
      <c r="AO298" s="115"/>
    </row>
    <row r="299" spans="3:41" x14ac:dyDescent="0.2">
      <c r="C299" s="198"/>
      <c r="D299" s="198"/>
      <c r="E299" s="198"/>
      <c r="F299" s="198"/>
      <c r="G299" s="198"/>
      <c r="H299" s="198"/>
      <c r="I299" s="198"/>
      <c r="J299" s="198"/>
      <c r="K299" s="198"/>
      <c r="L299" s="198"/>
      <c r="M299" s="198"/>
      <c r="N299" s="201"/>
      <c r="O299" s="201"/>
      <c r="P299" s="198"/>
      <c r="Q299" s="198"/>
      <c r="R299" s="198"/>
      <c r="S299" s="198"/>
      <c r="T299" s="198"/>
      <c r="U299" s="198"/>
      <c r="V299" s="201"/>
      <c r="W299" s="198"/>
      <c r="X299" s="198"/>
      <c r="Y299" s="198"/>
      <c r="Z299" s="198"/>
      <c r="AA299" s="198"/>
      <c r="AB299" s="198"/>
      <c r="AC299" s="198"/>
      <c r="AD299" s="115"/>
      <c r="AE299" s="115"/>
      <c r="AF299" s="115"/>
      <c r="AG299" s="115"/>
      <c r="AH299" s="115"/>
      <c r="AI299" s="115"/>
      <c r="AJ299" s="115"/>
      <c r="AK299" s="115"/>
      <c r="AL299" s="115"/>
      <c r="AM299" s="115"/>
      <c r="AN299" s="115"/>
      <c r="AO299" s="115"/>
    </row>
    <row r="300" spans="3:41" x14ac:dyDescent="0.2">
      <c r="C300" s="198"/>
      <c r="D300" s="198"/>
      <c r="E300" s="198"/>
      <c r="F300" s="198"/>
      <c r="G300" s="198"/>
      <c r="H300" s="198"/>
      <c r="I300" s="198"/>
      <c r="J300" s="198"/>
      <c r="K300" s="198"/>
      <c r="L300" s="198"/>
      <c r="M300" s="198"/>
      <c r="N300" s="201"/>
      <c r="O300" s="201"/>
      <c r="P300" s="198"/>
      <c r="Q300" s="198"/>
      <c r="R300" s="198"/>
      <c r="S300" s="198"/>
      <c r="T300" s="198"/>
      <c r="U300" s="198"/>
      <c r="V300" s="201"/>
      <c r="W300" s="198"/>
      <c r="X300" s="198"/>
      <c r="Y300" s="198"/>
      <c r="Z300" s="198"/>
      <c r="AA300" s="198"/>
      <c r="AB300" s="198"/>
      <c r="AC300" s="198"/>
      <c r="AD300" s="115"/>
      <c r="AE300" s="115"/>
      <c r="AF300" s="115"/>
      <c r="AG300" s="115"/>
      <c r="AH300" s="115"/>
      <c r="AI300" s="115"/>
      <c r="AJ300" s="115"/>
      <c r="AK300" s="115"/>
      <c r="AL300" s="115"/>
      <c r="AM300" s="115"/>
      <c r="AN300" s="115"/>
      <c r="AO300" s="115"/>
    </row>
    <row r="301" spans="3:41" x14ac:dyDescent="0.2">
      <c r="C301" s="198"/>
      <c r="D301" s="198"/>
      <c r="E301" s="198"/>
      <c r="F301" s="198"/>
      <c r="G301" s="198"/>
      <c r="H301" s="198"/>
      <c r="I301" s="198"/>
      <c r="J301" s="198"/>
      <c r="K301" s="198"/>
      <c r="L301" s="198"/>
      <c r="M301" s="198"/>
      <c r="N301" s="201"/>
      <c r="O301" s="201"/>
      <c r="P301" s="198"/>
      <c r="Q301" s="198"/>
      <c r="R301" s="198"/>
      <c r="S301" s="198"/>
      <c r="T301" s="198"/>
      <c r="U301" s="198"/>
      <c r="V301" s="201"/>
      <c r="W301" s="198"/>
      <c r="X301" s="198"/>
      <c r="Y301" s="198"/>
      <c r="Z301" s="198"/>
      <c r="AA301" s="198"/>
      <c r="AB301" s="198"/>
      <c r="AC301" s="198"/>
      <c r="AD301" s="115"/>
      <c r="AE301" s="115"/>
      <c r="AF301" s="115"/>
      <c r="AG301" s="115"/>
      <c r="AH301" s="115"/>
      <c r="AI301" s="115"/>
      <c r="AJ301" s="115"/>
      <c r="AK301" s="115"/>
      <c r="AL301" s="115"/>
      <c r="AM301" s="115"/>
      <c r="AN301" s="115"/>
      <c r="AO301" s="115"/>
    </row>
    <row r="302" spans="3:41" x14ac:dyDescent="0.2">
      <c r="C302" s="198"/>
      <c r="D302" s="198"/>
      <c r="E302" s="198"/>
      <c r="F302" s="198"/>
      <c r="G302" s="198"/>
      <c r="H302" s="198"/>
      <c r="I302" s="198"/>
      <c r="J302" s="198"/>
      <c r="K302" s="198"/>
      <c r="L302" s="198"/>
      <c r="M302" s="198"/>
      <c r="N302" s="201"/>
      <c r="O302" s="201"/>
      <c r="P302" s="198"/>
      <c r="Q302" s="198"/>
      <c r="R302" s="198"/>
      <c r="S302" s="198"/>
      <c r="T302" s="198"/>
      <c r="U302" s="198"/>
      <c r="V302" s="201"/>
      <c r="W302" s="198"/>
      <c r="X302" s="198"/>
      <c r="Y302" s="198"/>
      <c r="Z302" s="198"/>
      <c r="AA302" s="198"/>
      <c r="AB302" s="198"/>
      <c r="AC302" s="198"/>
      <c r="AD302" s="115"/>
      <c r="AE302" s="115"/>
      <c r="AF302" s="115"/>
      <c r="AG302" s="115"/>
      <c r="AH302" s="115"/>
      <c r="AI302" s="115"/>
      <c r="AJ302" s="115"/>
      <c r="AK302" s="115"/>
      <c r="AL302" s="115"/>
      <c r="AM302" s="115"/>
      <c r="AN302" s="115"/>
      <c r="AO302" s="115"/>
    </row>
    <row r="303" spans="3:41" x14ac:dyDescent="0.2">
      <c r="C303" s="198"/>
      <c r="D303" s="198"/>
      <c r="E303" s="198"/>
      <c r="F303" s="198"/>
      <c r="G303" s="198"/>
      <c r="H303" s="198"/>
      <c r="I303" s="198"/>
      <c r="J303" s="198"/>
      <c r="K303" s="198"/>
      <c r="L303" s="198"/>
      <c r="M303" s="198"/>
      <c r="N303" s="201"/>
      <c r="O303" s="201"/>
      <c r="P303" s="198"/>
      <c r="Q303" s="198"/>
      <c r="R303" s="198"/>
      <c r="S303" s="198"/>
      <c r="T303" s="198"/>
      <c r="U303" s="198"/>
      <c r="V303" s="201"/>
      <c r="W303" s="198"/>
      <c r="X303" s="198"/>
      <c r="Y303" s="198"/>
      <c r="Z303" s="198"/>
      <c r="AA303" s="198"/>
      <c r="AB303" s="198"/>
      <c r="AC303" s="198"/>
      <c r="AD303" s="115"/>
      <c r="AE303" s="115"/>
      <c r="AF303" s="115"/>
      <c r="AG303" s="115"/>
      <c r="AH303" s="115"/>
      <c r="AI303" s="115"/>
      <c r="AJ303" s="115"/>
      <c r="AK303" s="115"/>
      <c r="AL303" s="115"/>
      <c r="AM303" s="115"/>
      <c r="AN303" s="115"/>
      <c r="AO303" s="115"/>
    </row>
    <row r="304" spans="3:41" x14ac:dyDescent="0.2">
      <c r="C304" s="198"/>
      <c r="D304" s="198"/>
      <c r="E304" s="198"/>
      <c r="F304" s="198"/>
      <c r="G304" s="198"/>
      <c r="H304" s="198"/>
      <c r="I304" s="198"/>
      <c r="J304" s="198"/>
      <c r="K304" s="198"/>
      <c r="L304" s="198"/>
      <c r="M304" s="198"/>
      <c r="N304" s="201"/>
      <c r="O304" s="201"/>
      <c r="P304" s="198"/>
      <c r="Q304" s="198"/>
      <c r="R304" s="198"/>
      <c r="S304" s="198"/>
      <c r="T304" s="198"/>
      <c r="U304" s="198"/>
      <c r="V304" s="201"/>
      <c r="W304" s="198"/>
      <c r="X304" s="198"/>
      <c r="Y304" s="198"/>
      <c r="Z304" s="198"/>
      <c r="AA304" s="198"/>
      <c r="AB304" s="198"/>
      <c r="AC304" s="198"/>
      <c r="AD304" s="115"/>
      <c r="AE304" s="115"/>
      <c r="AF304" s="115"/>
      <c r="AG304" s="115"/>
      <c r="AH304" s="115"/>
      <c r="AI304" s="115"/>
      <c r="AJ304" s="115"/>
      <c r="AK304" s="115"/>
      <c r="AL304" s="115"/>
      <c r="AM304" s="115"/>
      <c r="AN304" s="115"/>
      <c r="AO304" s="115"/>
    </row>
    <row r="305" spans="3:41" x14ac:dyDescent="0.2">
      <c r="C305" s="198"/>
      <c r="D305" s="198"/>
      <c r="E305" s="198"/>
      <c r="F305" s="198"/>
      <c r="G305" s="198"/>
      <c r="H305" s="198"/>
      <c r="I305" s="198"/>
      <c r="J305" s="198"/>
      <c r="K305" s="198"/>
      <c r="L305" s="198"/>
      <c r="M305" s="198"/>
      <c r="N305" s="201"/>
      <c r="O305" s="201"/>
      <c r="P305" s="198"/>
      <c r="Q305" s="198"/>
      <c r="R305" s="198"/>
      <c r="S305" s="198"/>
      <c r="T305" s="198"/>
      <c r="U305" s="198"/>
      <c r="V305" s="201"/>
      <c r="W305" s="198"/>
      <c r="X305" s="198"/>
      <c r="Y305" s="198"/>
      <c r="Z305" s="198"/>
      <c r="AA305" s="198"/>
      <c r="AB305" s="198"/>
      <c r="AC305" s="198"/>
      <c r="AD305" s="115"/>
      <c r="AE305" s="115"/>
      <c r="AF305" s="115"/>
      <c r="AG305" s="115"/>
      <c r="AH305" s="115"/>
      <c r="AI305" s="115"/>
      <c r="AJ305" s="115"/>
      <c r="AK305" s="115"/>
      <c r="AL305" s="115"/>
      <c r="AM305" s="115"/>
      <c r="AN305" s="115"/>
      <c r="AO305" s="115"/>
    </row>
    <row r="306" spans="3:41" x14ac:dyDescent="0.2">
      <c r="C306" s="198"/>
      <c r="D306" s="198"/>
      <c r="E306" s="198"/>
      <c r="F306" s="198"/>
      <c r="G306" s="198"/>
      <c r="H306" s="198"/>
      <c r="I306" s="198"/>
      <c r="J306" s="198"/>
      <c r="K306" s="198"/>
      <c r="L306" s="198"/>
      <c r="M306" s="198"/>
      <c r="N306" s="201"/>
      <c r="O306" s="201"/>
      <c r="P306" s="198"/>
      <c r="Q306" s="198"/>
      <c r="R306" s="198"/>
      <c r="S306" s="198"/>
      <c r="T306" s="198"/>
      <c r="U306" s="198"/>
      <c r="V306" s="201"/>
      <c r="W306" s="198"/>
      <c r="X306" s="198"/>
      <c r="Y306" s="198"/>
      <c r="Z306" s="198"/>
      <c r="AA306" s="198"/>
      <c r="AB306" s="198"/>
      <c r="AC306" s="198"/>
      <c r="AD306" s="115"/>
      <c r="AE306" s="115"/>
      <c r="AF306" s="115"/>
      <c r="AG306" s="115"/>
      <c r="AH306" s="115"/>
      <c r="AI306" s="115"/>
      <c r="AJ306" s="115"/>
      <c r="AK306" s="115"/>
      <c r="AL306" s="115"/>
      <c r="AM306" s="115"/>
      <c r="AN306" s="115"/>
      <c r="AO306" s="115"/>
    </row>
    <row r="307" spans="3:41" x14ac:dyDescent="0.2">
      <c r="C307" s="198"/>
      <c r="D307" s="198"/>
      <c r="E307" s="198"/>
      <c r="F307" s="198"/>
      <c r="G307" s="198"/>
      <c r="H307" s="198"/>
      <c r="I307" s="198"/>
      <c r="J307" s="198"/>
      <c r="K307" s="198"/>
      <c r="L307" s="198"/>
      <c r="M307" s="198"/>
      <c r="N307" s="201"/>
      <c r="O307" s="201"/>
      <c r="P307" s="198"/>
      <c r="Q307" s="198"/>
      <c r="R307" s="198"/>
      <c r="S307" s="198"/>
      <c r="T307" s="198"/>
      <c r="U307" s="198"/>
      <c r="V307" s="201"/>
      <c r="W307" s="198"/>
      <c r="X307" s="198"/>
      <c r="Y307" s="198"/>
      <c r="Z307" s="198"/>
      <c r="AA307" s="198"/>
      <c r="AB307" s="198"/>
      <c r="AC307" s="198"/>
      <c r="AD307" s="115"/>
      <c r="AE307" s="115"/>
      <c r="AF307" s="115"/>
      <c r="AG307" s="115"/>
      <c r="AH307" s="115"/>
      <c r="AI307" s="115"/>
      <c r="AJ307" s="115"/>
      <c r="AK307" s="115"/>
      <c r="AL307" s="115"/>
      <c r="AM307" s="115"/>
      <c r="AN307" s="115"/>
      <c r="AO307" s="115"/>
    </row>
    <row r="308" spans="3:41" x14ac:dyDescent="0.2">
      <c r="C308" s="198"/>
      <c r="D308" s="198"/>
      <c r="E308" s="198"/>
      <c r="F308" s="198"/>
      <c r="G308" s="198"/>
      <c r="H308" s="198"/>
      <c r="I308" s="198"/>
      <c r="J308" s="198"/>
      <c r="K308" s="198"/>
      <c r="L308" s="198"/>
      <c r="M308" s="198"/>
      <c r="N308" s="201"/>
      <c r="O308" s="201"/>
      <c r="P308" s="198"/>
      <c r="Q308" s="198"/>
      <c r="R308" s="198"/>
      <c r="S308" s="198"/>
      <c r="T308" s="198"/>
      <c r="U308" s="198"/>
      <c r="V308" s="201"/>
      <c r="W308" s="198"/>
      <c r="X308" s="198"/>
      <c r="Y308" s="198"/>
      <c r="Z308" s="198"/>
      <c r="AA308" s="198"/>
      <c r="AB308" s="198"/>
      <c r="AC308" s="198"/>
      <c r="AD308" s="115"/>
      <c r="AE308" s="115"/>
      <c r="AF308" s="115"/>
      <c r="AG308" s="115"/>
      <c r="AH308" s="115"/>
      <c r="AI308" s="115"/>
      <c r="AJ308" s="115"/>
      <c r="AK308" s="115"/>
      <c r="AL308" s="115"/>
      <c r="AM308" s="115"/>
      <c r="AN308" s="115"/>
      <c r="AO308" s="115"/>
    </row>
    <row r="309" spans="3:41" x14ac:dyDescent="0.2">
      <c r="C309" s="198"/>
      <c r="D309" s="198"/>
      <c r="E309" s="198"/>
      <c r="F309" s="198"/>
      <c r="G309" s="198"/>
      <c r="H309" s="198"/>
      <c r="I309" s="198"/>
      <c r="J309" s="198"/>
      <c r="K309" s="198"/>
      <c r="L309" s="198"/>
      <c r="M309" s="198"/>
      <c r="N309" s="201"/>
      <c r="O309" s="201"/>
      <c r="P309" s="198"/>
      <c r="Q309" s="198"/>
      <c r="R309" s="198"/>
      <c r="S309" s="198"/>
      <c r="T309" s="198"/>
      <c r="U309" s="198"/>
      <c r="V309" s="201"/>
      <c r="W309" s="198"/>
      <c r="X309" s="198"/>
      <c r="Y309" s="198"/>
      <c r="Z309" s="198"/>
      <c r="AA309" s="198"/>
      <c r="AB309" s="198"/>
      <c r="AC309" s="198"/>
      <c r="AD309" s="115"/>
      <c r="AE309" s="115"/>
      <c r="AF309" s="115"/>
      <c r="AG309" s="115"/>
      <c r="AH309" s="115"/>
      <c r="AI309" s="115"/>
      <c r="AJ309" s="115"/>
      <c r="AK309" s="115"/>
      <c r="AL309" s="115"/>
      <c r="AM309" s="115"/>
      <c r="AN309" s="115"/>
      <c r="AO309" s="115"/>
    </row>
    <row r="310" spans="3:41" x14ac:dyDescent="0.2">
      <c r="C310" s="198"/>
      <c r="D310" s="198"/>
      <c r="E310" s="198"/>
      <c r="F310" s="198"/>
      <c r="G310" s="198"/>
      <c r="H310" s="198"/>
      <c r="I310" s="198"/>
      <c r="J310" s="198"/>
      <c r="K310" s="198"/>
      <c r="L310" s="198"/>
      <c r="M310" s="198"/>
      <c r="N310" s="201"/>
      <c r="O310" s="201"/>
      <c r="P310" s="198"/>
      <c r="Q310" s="198"/>
      <c r="R310" s="198"/>
      <c r="S310" s="198"/>
      <c r="T310" s="198"/>
      <c r="U310" s="198"/>
      <c r="V310" s="201"/>
      <c r="W310" s="198"/>
      <c r="X310" s="198"/>
      <c r="Y310" s="198"/>
      <c r="Z310" s="198"/>
      <c r="AA310" s="198"/>
      <c r="AB310" s="198"/>
      <c r="AC310" s="198"/>
      <c r="AD310" s="115"/>
      <c r="AE310" s="115"/>
      <c r="AF310" s="115"/>
      <c r="AG310" s="115"/>
      <c r="AH310" s="115"/>
      <c r="AI310" s="115"/>
      <c r="AJ310" s="115"/>
      <c r="AK310" s="115"/>
      <c r="AL310" s="115"/>
      <c r="AM310" s="115"/>
      <c r="AN310" s="115"/>
      <c r="AO310" s="115"/>
    </row>
    <row r="311" spans="3:41" x14ac:dyDescent="0.2">
      <c r="C311" s="198"/>
      <c r="D311" s="198"/>
      <c r="E311" s="198"/>
      <c r="F311" s="198"/>
      <c r="G311" s="198"/>
      <c r="H311" s="198"/>
      <c r="I311" s="198"/>
      <c r="J311" s="198"/>
      <c r="K311" s="198"/>
      <c r="L311" s="198"/>
      <c r="M311" s="198"/>
      <c r="N311" s="201"/>
      <c r="O311" s="201"/>
      <c r="P311" s="198"/>
      <c r="Q311" s="198"/>
      <c r="R311" s="198"/>
      <c r="S311" s="198"/>
      <c r="T311" s="198"/>
      <c r="U311" s="198"/>
      <c r="V311" s="201"/>
      <c r="W311" s="198"/>
      <c r="X311" s="198"/>
      <c r="Y311" s="198"/>
      <c r="Z311" s="198"/>
      <c r="AA311" s="198"/>
      <c r="AB311" s="198"/>
      <c r="AC311" s="198"/>
      <c r="AD311" s="115"/>
      <c r="AE311" s="115"/>
      <c r="AF311" s="115"/>
      <c r="AG311" s="115"/>
      <c r="AH311" s="115"/>
      <c r="AI311" s="115"/>
      <c r="AJ311" s="115"/>
      <c r="AK311" s="115"/>
      <c r="AL311" s="115"/>
      <c r="AM311" s="115"/>
      <c r="AN311" s="115"/>
      <c r="AO311" s="115"/>
    </row>
    <row r="312" spans="3:41" x14ac:dyDescent="0.2">
      <c r="C312" s="198"/>
      <c r="D312" s="198"/>
      <c r="E312" s="198"/>
      <c r="F312" s="198"/>
      <c r="G312" s="198"/>
      <c r="H312" s="198"/>
      <c r="I312" s="198"/>
      <c r="J312" s="198"/>
      <c r="K312" s="198"/>
      <c r="L312" s="198"/>
      <c r="M312" s="198"/>
      <c r="N312" s="201"/>
      <c r="O312" s="201"/>
      <c r="P312" s="198"/>
      <c r="Q312" s="198"/>
      <c r="R312" s="198"/>
      <c r="S312" s="198"/>
      <c r="T312" s="198"/>
      <c r="U312" s="198"/>
      <c r="V312" s="201"/>
      <c r="W312" s="198"/>
      <c r="X312" s="198"/>
      <c r="Y312" s="198"/>
      <c r="Z312" s="198"/>
      <c r="AA312" s="198"/>
      <c r="AB312" s="198"/>
      <c r="AC312" s="198"/>
      <c r="AD312" s="115"/>
      <c r="AE312" s="115"/>
      <c r="AF312" s="115"/>
      <c r="AG312" s="115"/>
      <c r="AH312" s="115"/>
      <c r="AI312" s="115"/>
      <c r="AJ312" s="115"/>
      <c r="AK312" s="115"/>
      <c r="AL312" s="115"/>
      <c r="AM312" s="115"/>
      <c r="AN312" s="115"/>
      <c r="AO312" s="115"/>
    </row>
    <row r="313" spans="3:41" x14ac:dyDescent="0.2">
      <c r="C313" s="198"/>
      <c r="D313" s="198"/>
      <c r="E313" s="198"/>
      <c r="F313" s="198"/>
      <c r="G313" s="198"/>
      <c r="H313" s="198"/>
      <c r="I313" s="198"/>
      <c r="J313" s="198"/>
      <c r="K313" s="198"/>
      <c r="L313" s="198"/>
      <c r="M313" s="198"/>
      <c r="N313" s="201"/>
      <c r="O313" s="201"/>
      <c r="P313" s="198"/>
      <c r="Q313" s="198"/>
      <c r="R313" s="198"/>
      <c r="S313" s="198"/>
      <c r="T313" s="198"/>
      <c r="U313" s="198"/>
      <c r="V313" s="201"/>
      <c r="W313" s="198"/>
      <c r="X313" s="198"/>
      <c r="Y313" s="198"/>
      <c r="Z313" s="198"/>
      <c r="AA313" s="198"/>
      <c r="AB313" s="198"/>
      <c r="AC313" s="198"/>
      <c r="AD313" s="115"/>
      <c r="AE313" s="115"/>
      <c r="AF313" s="115"/>
      <c r="AG313" s="115"/>
      <c r="AH313" s="115"/>
      <c r="AI313" s="115"/>
      <c r="AJ313" s="115"/>
      <c r="AK313" s="115"/>
      <c r="AL313" s="115"/>
      <c r="AM313" s="115"/>
      <c r="AN313" s="115"/>
      <c r="AO313" s="115"/>
    </row>
    <row r="314" spans="3:41" x14ac:dyDescent="0.2">
      <c r="C314" s="198"/>
      <c r="D314" s="198"/>
      <c r="E314" s="198"/>
      <c r="F314" s="198"/>
      <c r="G314" s="198"/>
      <c r="H314" s="198"/>
      <c r="I314" s="198"/>
      <c r="J314" s="198"/>
      <c r="K314" s="198"/>
      <c r="L314" s="198"/>
      <c r="M314" s="198"/>
      <c r="N314" s="201"/>
      <c r="O314" s="201"/>
      <c r="P314" s="198"/>
      <c r="Q314" s="198"/>
      <c r="R314" s="198"/>
      <c r="S314" s="198"/>
      <c r="T314" s="198"/>
      <c r="U314" s="198"/>
      <c r="V314" s="201"/>
      <c r="W314" s="198"/>
      <c r="X314" s="198"/>
      <c r="Y314" s="198"/>
      <c r="Z314" s="198"/>
      <c r="AA314" s="198"/>
      <c r="AB314" s="198"/>
      <c r="AC314" s="198"/>
      <c r="AD314" s="115"/>
      <c r="AE314" s="115"/>
      <c r="AF314" s="115"/>
      <c r="AG314" s="115"/>
      <c r="AH314" s="115"/>
      <c r="AI314" s="115"/>
      <c r="AJ314" s="115"/>
      <c r="AK314" s="115"/>
      <c r="AL314" s="115"/>
      <c r="AM314" s="115"/>
      <c r="AN314" s="115"/>
      <c r="AO314" s="115"/>
    </row>
    <row r="315" spans="3:41" x14ac:dyDescent="0.2">
      <c r="C315" s="198"/>
      <c r="D315" s="198"/>
      <c r="E315" s="198"/>
      <c r="F315" s="198"/>
      <c r="G315" s="198"/>
      <c r="H315" s="198"/>
      <c r="I315" s="198"/>
      <c r="J315" s="198"/>
      <c r="K315" s="198"/>
      <c r="L315" s="198"/>
      <c r="M315" s="198"/>
      <c r="N315" s="201"/>
      <c r="O315" s="201"/>
      <c r="P315" s="198"/>
      <c r="Q315" s="198"/>
      <c r="R315" s="198"/>
      <c r="S315" s="198"/>
      <c r="T315" s="198"/>
      <c r="U315" s="198"/>
      <c r="V315" s="201"/>
      <c r="W315" s="198"/>
      <c r="X315" s="198"/>
      <c r="Y315" s="198"/>
      <c r="Z315" s="198"/>
      <c r="AA315" s="198"/>
      <c r="AB315" s="198"/>
      <c r="AC315" s="198"/>
      <c r="AD315" s="115"/>
      <c r="AE315" s="115"/>
      <c r="AF315" s="115"/>
      <c r="AG315" s="115"/>
      <c r="AH315" s="115"/>
      <c r="AI315" s="115"/>
      <c r="AJ315" s="115"/>
      <c r="AK315" s="115"/>
      <c r="AL315" s="115"/>
      <c r="AM315" s="115"/>
      <c r="AN315" s="115"/>
      <c r="AO315" s="115"/>
    </row>
    <row r="316" spans="3:41" x14ac:dyDescent="0.2">
      <c r="C316" s="198"/>
      <c r="D316" s="198"/>
      <c r="E316" s="198"/>
      <c r="F316" s="198"/>
      <c r="G316" s="198"/>
      <c r="H316" s="198"/>
      <c r="I316" s="198"/>
      <c r="J316" s="198"/>
      <c r="K316" s="198"/>
      <c r="L316" s="198"/>
      <c r="M316" s="198"/>
      <c r="N316" s="201"/>
      <c r="O316" s="201"/>
      <c r="P316" s="198"/>
      <c r="Q316" s="198"/>
      <c r="R316" s="198"/>
      <c r="S316" s="198"/>
      <c r="T316" s="198"/>
      <c r="U316" s="198"/>
      <c r="V316" s="201"/>
      <c r="W316" s="198"/>
      <c r="X316" s="198"/>
      <c r="Y316" s="198"/>
      <c r="Z316" s="198"/>
      <c r="AA316" s="198"/>
      <c r="AB316" s="198"/>
      <c r="AC316" s="198"/>
      <c r="AD316" s="115"/>
      <c r="AE316" s="115"/>
      <c r="AF316" s="115"/>
      <c r="AG316" s="115"/>
      <c r="AH316" s="115"/>
      <c r="AI316" s="115"/>
      <c r="AJ316" s="115"/>
      <c r="AK316" s="115"/>
      <c r="AL316" s="115"/>
      <c r="AM316" s="115"/>
      <c r="AN316" s="115"/>
      <c r="AO316" s="115"/>
    </row>
    <row r="317" spans="3:41" x14ac:dyDescent="0.2">
      <c r="C317" s="198"/>
      <c r="D317" s="198"/>
      <c r="E317" s="198"/>
      <c r="F317" s="198"/>
      <c r="G317" s="198"/>
      <c r="H317" s="198"/>
      <c r="I317" s="198"/>
      <c r="J317" s="198"/>
      <c r="K317" s="198"/>
      <c r="L317" s="198"/>
      <c r="M317" s="198"/>
      <c r="N317" s="201"/>
      <c r="O317" s="201"/>
      <c r="P317" s="198"/>
      <c r="Q317" s="198"/>
      <c r="R317" s="198"/>
      <c r="S317" s="198"/>
      <c r="T317" s="198"/>
      <c r="U317" s="198"/>
      <c r="V317" s="201"/>
      <c r="W317" s="198"/>
      <c r="X317" s="198"/>
      <c r="Y317" s="198"/>
      <c r="Z317" s="198"/>
      <c r="AA317" s="198"/>
      <c r="AB317" s="198"/>
      <c r="AC317" s="198"/>
      <c r="AD317" s="115"/>
      <c r="AE317" s="115"/>
      <c r="AF317" s="115"/>
      <c r="AG317" s="115"/>
      <c r="AH317" s="115"/>
      <c r="AI317" s="115"/>
      <c r="AJ317" s="115"/>
      <c r="AK317" s="115"/>
      <c r="AL317" s="115"/>
      <c r="AM317" s="115"/>
      <c r="AN317" s="115"/>
      <c r="AO317" s="115"/>
    </row>
    <row r="318" spans="3:41" x14ac:dyDescent="0.2">
      <c r="C318" s="198"/>
      <c r="D318" s="198"/>
      <c r="E318" s="198"/>
      <c r="F318" s="198"/>
      <c r="G318" s="198"/>
      <c r="H318" s="198"/>
      <c r="I318" s="198"/>
      <c r="J318" s="198"/>
      <c r="K318" s="198"/>
      <c r="L318" s="198"/>
      <c r="M318" s="198"/>
      <c r="N318" s="201"/>
      <c r="O318" s="201"/>
      <c r="P318" s="198"/>
      <c r="Q318" s="198"/>
      <c r="R318" s="198"/>
      <c r="S318" s="198"/>
      <c r="T318" s="198"/>
      <c r="U318" s="198"/>
      <c r="V318" s="201"/>
      <c r="W318" s="198"/>
      <c r="X318" s="198"/>
      <c r="Y318" s="198"/>
      <c r="Z318" s="198"/>
      <c r="AA318" s="198"/>
      <c r="AB318" s="198"/>
      <c r="AC318" s="198"/>
      <c r="AD318" s="115"/>
      <c r="AE318" s="115"/>
      <c r="AF318" s="115"/>
      <c r="AG318" s="115"/>
      <c r="AH318" s="115"/>
      <c r="AI318" s="115"/>
      <c r="AJ318" s="115"/>
      <c r="AK318" s="115"/>
      <c r="AL318" s="115"/>
      <c r="AM318" s="115"/>
      <c r="AN318" s="115"/>
      <c r="AO318" s="115"/>
    </row>
    <row r="319" spans="3:41" x14ac:dyDescent="0.2">
      <c r="C319" s="198"/>
      <c r="D319" s="198"/>
      <c r="E319" s="198"/>
      <c r="F319" s="198"/>
      <c r="G319" s="198"/>
      <c r="H319" s="198"/>
      <c r="I319" s="198"/>
      <c r="J319" s="198"/>
      <c r="K319" s="198"/>
      <c r="L319" s="198"/>
      <c r="M319" s="198"/>
      <c r="N319" s="201"/>
      <c r="O319" s="201"/>
      <c r="P319" s="198"/>
      <c r="Q319" s="198"/>
      <c r="R319" s="198"/>
      <c r="S319" s="198"/>
      <c r="T319" s="198"/>
      <c r="U319" s="198"/>
      <c r="V319" s="201"/>
      <c r="W319" s="198"/>
      <c r="X319" s="198"/>
      <c r="Y319" s="198"/>
      <c r="Z319" s="198"/>
      <c r="AA319" s="198"/>
      <c r="AB319" s="198"/>
      <c r="AC319" s="198"/>
      <c r="AD319" s="115"/>
      <c r="AE319" s="115"/>
      <c r="AF319" s="115"/>
      <c r="AG319" s="115"/>
      <c r="AH319" s="115"/>
      <c r="AI319" s="115"/>
      <c r="AJ319" s="115"/>
      <c r="AK319" s="115"/>
      <c r="AL319" s="115"/>
      <c r="AM319" s="115"/>
      <c r="AN319" s="115"/>
      <c r="AO319" s="115"/>
    </row>
    <row r="320" spans="3:41" x14ac:dyDescent="0.2">
      <c r="C320" s="198"/>
      <c r="D320" s="198"/>
      <c r="E320" s="198"/>
      <c r="F320" s="198"/>
      <c r="G320" s="198"/>
      <c r="H320" s="198"/>
      <c r="I320" s="198"/>
      <c r="J320" s="198"/>
      <c r="K320" s="198"/>
      <c r="L320" s="198"/>
      <c r="M320" s="198"/>
      <c r="N320" s="201"/>
      <c r="O320" s="201"/>
      <c r="P320" s="198"/>
      <c r="Q320" s="198"/>
      <c r="R320" s="198"/>
      <c r="S320" s="198"/>
      <c r="T320" s="198"/>
      <c r="U320" s="103"/>
      <c r="V320" s="104"/>
      <c r="W320" s="103"/>
      <c r="X320" s="103"/>
      <c r="Y320" s="103"/>
      <c r="Z320" s="103"/>
      <c r="AA320" s="103"/>
      <c r="AB320" s="103"/>
      <c r="AC320" s="198"/>
      <c r="AD320" s="115"/>
      <c r="AE320" s="115"/>
      <c r="AF320" s="115"/>
      <c r="AG320" s="115"/>
      <c r="AH320" s="115"/>
      <c r="AI320" s="115"/>
      <c r="AJ320" s="115"/>
      <c r="AK320" s="115"/>
      <c r="AL320" s="115"/>
      <c r="AM320" s="115"/>
      <c r="AN320" s="115"/>
      <c r="AO320" s="115"/>
    </row>
    <row r="321" spans="3:41" x14ac:dyDescent="0.2">
      <c r="C321" s="198"/>
      <c r="D321" s="198"/>
      <c r="E321" s="198"/>
      <c r="F321" s="198"/>
      <c r="G321" s="198"/>
      <c r="H321" s="198"/>
      <c r="I321" s="198"/>
      <c r="J321" s="198"/>
      <c r="K321" s="198"/>
      <c r="L321" s="198"/>
      <c r="M321" s="198"/>
      <c r="N321" s="201"/>
      <c r="O321" s="201"/>
      <c r="P321" s="198"/>
      <c r="Q321" s="198"/>
      <c r="R321" s="198"/>
      <c r="S321" s="198"/>
      <c r="T321" s="198"/>
      <c r="AC321" s="198"/>
      <c r="AD321" s="115"/>
      <c r="AE321" s="115"/>
      <c r="AF321" s="115"/>
      <c r="AG321" s="115"/>
      <c r="AH321" s="115"/>
      <c r="AI321" s="115"/>
      <c r="AJ321" s="115"/>
      <c r="AK321" s="115"/>
      <c r="AL321" s="115"/>
      <c r="AM321" s="115"/>
      <c r="AN321" s="115"/>
      <c r="AO321" s="115"/>
    </row>
    <row r="322" spans="3:41" x14ac:dyDescent="0.2">
      <c r="C322" s="198"/>
      <c r="D322" s="198"/>
      <c r="E322" s="198"/>
      <c r="F322" s="198"/>
      <c r="G322" s="198"/>
      <c r="H322" s="198"/>
      <c r="I322" s="198"/>
      <c r="J322" s="198"/>
      <c r="K322" s="198"/>
      <c r="L322" s="198"/>
      <c r="M322" s="198"/>
      <c r="N322" s="201"/>
      <c r="O322" s="201"/>
      <c r="P322" s="198"/>
      <c r="Q322" s="198"/>
      <c r="R322" s="198"/>
      <c r="S322" s="198"/>
      <c r="T322" s="198"/>
      <c r="AC322" s="198"/>
      <c r="AD322" s="115"/>
      <c r="AE322" s="115"/>
      <c r="AF322" s="115"/>
      <c r="AG322" s="115"/>
      <c r="AH322" s="115"/>
      <c r="AI322" s="115"/>
      <c r="AJ322" s="115"/>
      <c r="AK322" s="115"/>
      <c r="AL322" s="115"/>
      <c r="AM322" s="115"/>
      <c r="AN322" s="115"/>
      <c r="AO322" s="115"/>
    </row>
    <row r="323" spans="3:41" x14ac:dyDescent="0.2">
      <c r="C323" s="198"/>
      <c r="D323" s="198"/>
      <c r="E323" s="198"/>
      <c r="F323" s="198"/>
      <c r="G323" s="198"/>
      <c r="H323" s="198"/>
      <c r="I323" s="198"/>
      <c r="J323" s="198"/>
      <c r="K323" s="198"/>
      <c r="L323" s="198"/>
      <c r="M323" s="198"/>
      <c r="N323" s="201"/>
      <c r="O323" s="201"/>
      <c r="P323" s="198"/>
      <c r="Q323" s="198"/>
      <c r="R323" s="198"/>
      <c r="S323" s="198"/>
      <c r="T323" s="198"/>
      <c r="AC323" s="198"/>
      <c r="AD323" s="115"/>
      <c r="AE323" s="115"/>
      <c r="AF323" s="115"/>
      <c r="AG323" s="115"/>
      <c r="AH323" s="115"/>
      <c r="AI323" s="115"/>
      <c r="AJ323" s="115"/>
      <c r="AK323" s="115"/>
      <c r="AL323" s="115"/>
      <c r="AM323" s="115"/>
      <c r="AN323" s="115"/>
      <c r="AO323" s="115"/>
    </row>
    <row r="324" spans="3:41" x14ac:dyDescent="0.2">
      <c r="C324" s="198"/>
      <c r="D324" s="198"/>
      <c r="E324" s="198"/>
      <c r="F324" s="198"/>
      <c r="G324" s="198"/>
      <c r="H324" s="198"/>
      <c r="I324" s="198"/>
      <c r="J324" s="198"/>
      <c r="K324" s="198"/>
      <c r="L324" s="198"/>
      <c r="M324" s="198"/>
      <c r="N324" s="201"/>
      <c r="O324" s="201"/>
      <c r="P324" s="198"/>
      <c r="Q324" s="198"/>
      <c r="R324" s="198"/>
      <c r="S324" s="198"/>
      <c r="T324" s="198"/>
      <c r="AC324" s="198"/>
      <c r="AD324" s="115"/>
      <c r="AE324" s="115"/>
      <c r="AF324" s="115"/>
      <c r="AG324" s="115"/>
      <c r="AH324" s="115"/>
      <c r="AI324" s="115"/>
      <c r="AJ324" s="115"/>
      <c r="AK324" s="115"/>
      <c r="AL324" s="115"/>
      <c r="AM324" s="115"/>
      <c r="AN324" s="115"/>
      <c r="AO324" s="115"/>
    </row>
    <row r="325" spans="3:41" x14ac:dyDescent="0.2">
      <c r="C325" s="198"/>
      <c r="D325" s="198"/>
      <c r="E325" s="198"/>
      <c r="F325" s="198"/>
      <c r="G325" s="198"/>
      <c r="H325" s="198"/>
      <c r="I325" s="198"/>
      <c r="J325" s="198"/>
      <c r="K325" s="198"/>
      <c r="L325" s="198"/>
      <c r="M325" s="198"/>
      <c r="N325" s="201"/>
      <c r="O325" s="201"/>
      <c r="P325" s="198"/>
      <c r="Q325" s="198"/>
      <c r="R325" s="198"/>
      <c r="S325" s="198"/>
      <c r="T325" s="198"/>
      <c r="AC325" s="198"/>
      <c r="AD325" s="115"/>
      <c r="AE325" s="115"/>
      <c r="AF325" s="115"/>
      <c r="AG325" s="115"/>
      <c r="AH325" s="115"/>
      <c r="AI325" s="115"/>
      <c r="AJ325" s="115"/>
      <c r="AK325" s="115"/>
      <c r="AL325" s="115"/>
      <c r="AM325" s="115"/>
      <c r="AN325" s="115"/>
      <c r="AO325" s="115"/>
    </row>
    <row r="326" spans="3:41" x14ac:dyDescent="0.2">
      <c r="C326" s="198"/>
      <c r="D326" s="198"/>
      <c r="E326" s="198"/>
      <c r="F326" s="198"/>
      <c r="G326" s="198"/>
      <c r="H326" s="198"/>
      <c r="I326" s="198"/>
      <c r="J326" s="198"/>
      <c r="K326" s="198"/>
      <c r="L326" s="198"/>
      <c r="M326" s="198"/>
      <c r="N326" s="201"/>
      <c r="O326" s="201"/>
      <c r="P326" s="198"/>
      <c r="Q326" s="198"/>
      <c r="R326" s="198"/>
      <c r="S326" s="198"/>
      <c r="T326" s="198"/>
      <c r="AC326" s="198"/>
      <c r="AD326" s="115"/>
      <c r="AE326" s="115"/>
      <c r="AF326" s="115"/>
      <c r="AG326" s="115"/>
      <c r="AH326" s="115"/>
      <c r="AI326" s="115"/>
      <c r="AJ326" s="115"/>
      <c r="AK326" s="115"/>
      <c r="AL326" s="115"/>
      <c r="AM326" s="115"/>
      <c r="AN326" s="115"/>
      <c r="AO326" s="115"/>
    </row>
    <row r="327" spans="3:41" x14ac:dyDescent="0.2">
      <c r="C327" s="198"/>
      <c r="D327" s="198"/>
      <c r="E327" s="198"/>
      <c r="F327" s="198"/>
      <c r="G327" s="198"/>
      <c r="H327" s="198"/>
      <c r="I327" s="198"/>
      <c r="J327" s="198"/>
      <c r="K327" s="198"/>
      <c r="L327" s="198"/>
      <c r="M327" s="198"/>
      <c r="N327" s="201"/>
      <c r="O327" s="201"/>
      <c r="P327" s="198"/>
      <c r="Q327" s="198"/>
      <c r="R327" s="198"/>
      <c r="S327" s="198"/>
      <c r="T327" s="198"/>
      <c r="AC327" s="198"/>
      <c r="AD327" s="115"/>
      <c r="AE327" s="115"/>
      <c r="AF327" s="115"/>
      <c r="AG327" s="115"/>
      <c r="AH327" s="115"/>
      <c r="AI327" s="115"/>
      <c r="AJ327" s="115"/>
      <c r="AK327" s="115"/>
      <c r="AL327" s="115"/>
      <c r="AM327" s="115"/>
      <c r="AN327" s="115"/>
      <c r="AO327" s="115"/>
    </row>
    <row r="328" spans="3:41" x14ac:dyDescent="0.2">
      <c r="C328" s="198"/>
      <c r="D328" s="198"/>
      <c r="E328" s="198"/>
      <c r="F328" s="198"/>
      <c r="G328" s="198"/>
      <c r="H328" s="198"/>
      <c r="I328" s="198"/>
      <c r="J328" s="198"/>
      <c r="K328" s="198"/>
      <c r="L328" s="198"/>
      <c r="M328" s="198"/>
      <c r="N328" s="201"/>
      <c r="O328" s="201"/>
      <c r="P328" s="198"/>
      <c r="Q328" s="198"/>
      <c r="R328" s="198"/>
      <c r="S328" s="198"/>
      <c r="T328" s="198"/>
      <c r="AC328" s="198"/>
      <c r="AD328" s="115"/>
      <c r="AE328" s="115"/>
      <c r="AF328" s="115"/>
      <c r="AG328" s="115"/>
      <c r="AH328" s="115"/>
      <c r="AI328" s="115"/>
      <c r="AJ328" s="115"/>
      <c r="AK328" s="115"/>
      <c r="AL328" s="115"/>
      <c r="AM328" s="115"/>
      <c r="AN328" s="115"/>
      <c r="AO328" s="115"/>
    </row>
    <row r="329" spans="3:41" x14ac:dyDescent="0.2">
      <c r="C329" s="103"/>
      <c r="D329" s="103"/>
      <c r="E329" s="103"/>
      <c r="F329" s="103"/>
      <c r="G329" s="103"/>
      <c r="H329" s="103"/>
      <c r="I329" s="103"/>
      <c r="J329" s="103"/>
      <c r="K329" s="103"/>
      <c r="L329" s="103"/>
      <c r="M329" s="103"/>
      <c r="N329" s="104"/>
      <c r="O329" s="104"/>
      <c r="P329" s="103"/>
      <c r="Q329" s="103"/>
      <c r="R329" s="103"/>
      <c r="S329" s="103"/>
      <c r="T329" s="198"/>
      <c r="AC329" s="198"/>
      <c r="AD329" s="115"/>
      <c r="AE329" s="115"/>
      <c r="AF329" s="115"/>
      <c r="AG329" s="115"/>
      <c r="AH329" s="115"/>
      <c r="AI329" s="115"/>
      <c r="AJ329" s="115"/>
      <c r="AK329" s="115"/>
      <c r="AL329" s="115"/>
      <c r="AM329" s="115"/>
      <c r="AN329" s="115"/>
      <c r="AO329" s="115"/>
    </row>
    <row r="330" spans="3:41" x14ac:dyDescent="0.2">
      <c r="T330" s="198"/>
      <c r="AC330" s="198"/>
      <c r="AD330" s="115"/>
      <c r="AE330" s="115"/>
      <c r="AF330" s="115"/>
      <c r="AG330" s="115"/>
      <c r="AH330" s="115"/>
      <c r="AI330" s="115"/>
      <c r="AJ330" s="115"/>
      <c r="AK330" s="115"/>
      <c r="AL330" s="115"/>
      <c r="AM330" s="115"/>
      <c r="AN330" s="115"/>
      <c r="AO330" s="115"/>
    </row>
    <row r="331" spans="3:41" x14ac:dyDescent="0.2">
      <c r="T331" s="198"/>
      <c r="AC331" s="198"/>
      <c r="AD331" s="115"/>
      <c r="AE331" s="115"/>
      <c r="AF331" s="115"/>
      <c r="AG331" s="115"/>
      <c r="AH331" s="115"/>
      <c r="AI331" s="115"/>
      <c r="AJ331" s="115"/>
      <c r="AK331" s="115"/>
      <c r="AL331" s="115"/>
      <c r="AM331" s="115"/>
      <c r="AN331" s="115"/>
      <c r="AO331" s="115"/>
    </row>
    <row r="332" spans="3:41" x14ac:dyDescent="0.2">
      <c r="T332" s="198"/>
      <c r="AC332" s="198"/>
      <c r="AD332" s="115"/>
      <c r="AE332" s="115"/>
      <c r="AF332" s="115"/>
      <c r="AG332" s="115"/>
      <c r="AH332" s="115"/>
      <c r="AI332" s="115"/>
      <c r="AJ332" s="115"/>
      <c r="AK332" s="115"/>
      <c r="AL332" s="115"/>
      <c r="AM332" s="115"/>
      <c r="AN332" s="115"/>
      <c r="AO332" s="115"/>
    </row>
    <row r="333" spans="3:41" x14ac:dyDescent="0.2">
      <c r="T333" s="198"/>
      <c r="AC333" s="198"/>
      <c r="AD333" s="115"/>
      <c r="AE333" s="115"/>
      <c r="AF333" s="115"/>
      <c r="AG333" s="115"/>
      <c r="AH333" s="115"/>
      <c r="AI333" s="115"/>
      <c r="AJ333" s="115"/>
      <c r="AK333" s="115"/>
      <c r="AL333" s="115"/>
      <c r="AM333" s="115"/>
      <c r="AN333" s="115"/>
      <c r="AO333" s="115"/>
    </row>
    <row r="334" spans="3:41" x14ac:dyDescent="0.2">
      <c r="T334" s="198"/>
      <c r="AC334" s="198"/>
      <c r="AD334" s="115"/>
      <c r="AE334" s="115"/>
      <c r="AF334" s="115"/>
      <c r="AG334" s="115"/>
      <c r="AH334" s="115"/>
      <c r="AI334" s="115"/>
      <c r="AJ334" s="115"/>
      <c r="AK334" s="115"/>
      <c r="AL334" s="115"/>
      <c r="AM334" s="115"/>
      <c r="AN334" s="115"/>
      <c r="AO334" s="115"/>
    </row>
    <row r="335" spans="3:41" x14ac:dyDescent="0.2">
      <c r="T335" s="198"/>
      <c r="AC335" s="198"/>
      <c r="AD335" s="115"/>
      <c r="AE335" s="115"/>
      <c r="AF335" s="115"/>
      <c r="AG335" s="115"/>
      <c r="AH335" s="115"/>
      <c r="AI335" s="115"/>
      <c r="AJ335" s="115"/>
      <c r="AK335" s="115"/>
      <c r="AL335" s="115"/>
      <c r="AM335" s="115"/>
      <c r="AN335" s="115"/>
      <c r="AO335" s="115"/>
    </row>
    <row r="336" spans="3:41" x14ac:dyDescent="0.2">
      <c r="T336" s="198"/>
      <c r="AC336" s="198"/>
      <c r="AD336" s="115"/>
      <c r="AE336" s="115"/>
      <c r="AF336" s="115"/>
      <c r="AG336" s="115"/>
      <c r="AH336" s="115"/>
      <c r="AI336" s="115"/>
      <c r="AJ336" s="115"/>
      <c r="AK336" s="115"/>
      <c r="AL336" s="115"/>
      <c r="AM336" s="115"/>
      <c r="AN336" s="115"/>
      <c r="AO336" s="115"/>
    </row>
    <row r="337" spans="20:41" x14ac:dyDescent="0.2">
      <c r="T337" s="198"/>
      <c r="AC337" s="198"/>
      <c r="AD337" s="115"/>
      <c r="AE337" s="115"/>
      <c r="AF337" s="115"/>
      <c r="AG337" s="115"/>
      <c r="AH337" s="115"/>
      <c r="AI337" s="115"/>
      <c r="AJ337" s="115"/>
      <c r="AK337" s="115"/>
      <c r="AL337" s="115"/>
      <c r="AM337" s="115"/>
      <c r="AN337" s="115"/>
      <c r="AO337" s="115"/>
    </row>
    <row r="338" spans="20:41" x14ac:dyDescent="0.2">
      <c r="T338" s="198"/>
      <c r="AC338" s="198"/>
      <c r="AD338" s="115"/>
      <c r="AE338" s="115"/>
      <c r="AF338" s="115"/>
      <c r="AG338" s="115"/>
      <c r="AH338" s="115"/>
      <c r="AI338" s="115"/>
      <c r="AJ338" s="115"/>
      <c r="AK338" s="115"/>
      <c r="AL338" s="115"/>
      <c r="AM338" s="115"/>
      <c r="AN338" s="115"/>
      <c r="AO338" s="115"/>
    </row>
    <row r="339" spans="20:41" x14ac:dyDescent="0.2">
      <c r="T339" s="198"/>
      <c r="AC339" s="198"/>
      <c r="AD339" s="115"/>
      <c r="AE339" s="115"/>
      <c r="AF339" s="115"/>
      <c r="AG339" s="115"/>
      <c r="AH339" s="115"/>
      <c r="AI339" s="115"/>
      <c r="AJ339" s="115"/>
      <c r="AK339" s="115"/>
      <c r="AL339" s="115"/>
      <c r="AM339" s="115"/>
      <c r="AN339" s="115"/>
      <c r="AO339" s="115"/>
    </row>
    <row r="340" spans="20:41" x14ac:dyDescent="0.2">
      <c r="T340" s="198"/>
      <c r="AC340" s="198"/>
      <c r="AD340" s="115"/>
      <c r="AE340" s="115"/>
      <c r="AF340" s="115"/>
      <c r="AG340" s="115"/>
      <c r="AH340" s="115"/>
      <c r="AI340" s="115"/>
      <c r="AJ340" s="115"/>
      <c r="AK340" s="115"/>
      <c r="AL340" s="115"/>
      <c r="AM340" s="115"/>
      <c r="AN340" s="115"/>
      <c r="AO340" s="115"/>
    </row>
    <row r="341" spans="20:41" x14ac:dyDescent="0.2">
      <c r="T341" s="198"/>
      <c r="AC341" s="198"/>
      <c r="AD341" s="115"/>
      <c r="AE341" s="115"/>
      <c r="AF341" s="115"/>
      <c r="AG341" s="115"/>
      <c r="AH341" s="115"/>
      <c r="AI341" s="115"/>
      <c r="AJ341" s="115"/>
      <c r="AK341" s="115"/>
      <c r="AL341" s="115"/>
      <c r="AM341" s="115"/>
      <c r="AN341" s="115"/>
      <c r="AO341" s="115"/>
    </row>
    <row r="342" spans="20:41" x14ac:dyDescent="0.2">
      <c r="T342" s="198"/>
      <c r="AC342" s="198"/>
      <c r="AD342" s="115"/>
      <c r="AE342" s="115"/>
      <c r="AF342" s="115"/>
      <c r="AG342" s="115"/>
      <c r="AH342" s="115"/>
      <c r="AI342" s="115"/>
      <c r="AJ342" s="115"/>
      <c r="AK342" s="115"/>
      <c r="AL342" s="115"/>
      <c r="AM342" s="115"/>
      <c r="AN342" s="115"/>
      <c r="AO342" s="115"/>
    </row>
    <row r="343" spans="20:41" x14ac:dyDescent="0.2">
      <c r="T343" s="103"/>
      <c r="AC343" s="198"/>
      <c r="AD343" s="115"/>
      <c r="AE343" s="115"/>
      <c r="AF343" s="115"/>
      <c r="AG343" s="115"/>
      <c r="AH343" s="115"/>
      <c r="AI343" s="115"/>
      <c r="AJ343" s="115"/>
      <c r="AK343" s="115"/>
      <c r="AL343" s="115"/>
      <c r="AM343" s="115"/>
      <c r="AN343" s="115"/>
      <c r="AO343" s="115"/>
    </row>
    <row r="344" spans="20:41" x14ac:dyDescent="0.2">
      <c r="AC344" s="198"/>
      <c r="AD344" s="115"/>
      <c r="AE344" s="115"/>
      <c r="AF344" s="115"/>
      <c r="AG344" s="115"/>
      <c r="AH344" s="115"/>
      <c r="AI344" s="115"/>
      <c r="AJ344" s="115"/>
      <c r="AK344" s="115"/>
      <c r="AL344" s="115"/>
      <c r="AM344" s="115"/>
      <c r="AN344" s="115"/>
      <c r="AO344" s="115"/>
    </row>
    <row r="345" spans="20:41" x14ac:dyDescent="0.2">
      <c r="AC345" s="198"/>
      <c r="AD345" s="115"/>
      <c r="AE345" s="115"/>
      <c r="AF345" s="115"/>
      <c r="AG345" s="115"/>
      <c r="AH345" s="115"/>
      <c r="AI345" s="115"/>
      <c r="AJ345" s="115"/>
      <c r="AK345" s="115"/>
      <c r="AL345" s="115"/>
      <c r="AM345" s="115"/>
      <c r="AN345" s="115"/>
      <c r="AO345" s="115"/>
    </row>
    <row r="346" spans="20:41" x14ac:dyDescent="0.2">
      <c r="AC346" s="198"/>
      <c r="AD346" s="115"/>
      <c r="AE346" s="115"/>
      <c r="AF346" s="115"/>
      <c r="AG346" s="115"/>
      <c r="AH346" s="115"/>
      <c r="AI346" s="115"/>
      <c r="AJ346" s="115"/>
      <c r="AK346" s="115"/>
      <c r="AL346" s="115"/>
      <c r="AM346" s="115"/>
      <c r="AN346" s="115"/>
      <c r="AO346" s="115"/>
    </row>
    <row r="347" spans="20:41" x14ac:dyDescent="0.2">
      <c r="AC347" s="198"/>
      <c r="AD347" s="115"/>
      <c r="AE347" s="115"/>
      <c r="AF347" s="115"/>
      <c r="AG347" s="115"/>
      <c r="AH347" s="115"/>
      <c r="AI347" s="115"/>
      <c r="AJ347" s="115"/>
      <c r="AK347" s="115"/>
      <c r="AL347" s="115"/>
      <c r="AM347" s="115"/>
      <c r="AN347" s="115"/>
      <c r="AO347" s="115"/>
    </row>
    <row r="348" spans="20:41" x14ac:dyDescent="0.2">
      <c r="AC348" s="198"/>
      <c r="AD348" s="115"/>
      <c r="AE348" s="115"/>
      <c r="AF348" s="115"/>
      <c r="AG348" s="115"/>
      <c r="AH348" s="115"/>
      <c r="AI348" s="115"/>
      <c r="AJ348" s="115"/>
      <c r="AK348" s="115"/>
      <c r="AL348" s="115"/>
      <c r="AM348" s="115"/>
      <c r="AN348" s="115"/>
      <c r="AO348" s="115"/>
    </row>
    <row r="349" spans="20:41" x14ac:dyDescent="0.2">
      <c r="AC349" s="198"/>
      <c r="AD349" s="115"/>
      <c r="AE349" s="115"/>
      <c r="AF349" s="115"/>
      <c r="AG349" s="115"/>
      <c r="AH349" s="115"/>
      <c r="AI349" s="115"/>
      <c r="AJ349" s="115"/>
      <c r="AK349" s="115"/>
      <c r="AL349" s="115"/>
      <c r="AM349" s="115"/>
      <c r="AN349" s="115"/>
      <c r="AO349" s="115"/>
    </row>
    <row r="350" spans="20:41" x14ac:dyDescent="0.2">
      <c r="AC350" s="198"/>
      <c r="AD350" s="115"/>
      <c r="AE350" s="115"/>
      <c r="AF350" s="115"/>
      <c r="AG350" s="115"/>
      <c r="AH350" s="115"/>
      <c r="AI350" s="115"/>
      <c r="AJ350" s="115"/>
      <c r="AK350" s="115"/>
      <c r="AL350" s="115"/>
      <c r="AM350" s="115"/>
      <c r="AN350" s="115"/>
      <c r="AO350" s="115"/>
    </row>
    <row r="351" spans="20:41" x14ac:dyDescent="0.2">
      <c r="AC351" s="198"/>
      <c r="AD351" s="115"/>
      <c r="AE351" s="115"/>
      <c r="AF351" s="115"/>
      <c r="AG351" s="115"/>
      <c r="AH351" s="115"/>
      <c r="AI351" s="115"/>
      <c r="AJ351" s="115"/>
      <c r="AK351" s="115"/>
      <c r="AL351" s="115"/>
      <c r="AM351" s="115"/>
      <c r="AN351" s="115"/>
      <c r="AO351" s="115"/>
    </row>
    <row r="352" spans="20:41" x14ac:dyDescent="0.2">
      <c r="AC352" s="198"/>
      <c r="AD352" s="115"/>
      <c r="AE352" s="115"/>
      <c r="AF352" s="115"/>
      <c r="AG352" s="115"/>
      <c r="AH352" s="115"/>
      <c r="AI352" s="115"/>
      <c r="AJ352" s="115"/>
      <c r="AK352" s="115"/>
      <c r="AL352" s="115"/>
      <c r="AM352" s="115"/>
      <c r="AN352" s="115"/>
      <c r="AO352" s="115"/>
    </row>
    <row r="353" spans="29:41" x14ac:dyDescent="0.2">
      <c r="AC353" s="198"/>
      <c r="AD353" s="115"/>
      <c r="AE353" s="115"/>
      <c r="AF353" s="115"/>
      <c r="AG353" s="115"/>
      <c r="AH353" s="115"/>
      <c r="AI353" s="115"/>
      <c r="AJ353" s="115"/>
      <c r="AK353" s="115"/>
      <c r="AL353" s="115"/>
      <c r="AM353" s="115"/>
      <c r="AN353" s="115"/>
      <c r="AO353" s="115"/>
    </row>
    <row r="354" spans="29:41" x14ac:dyDescent="0.2">
      <c r="AC354" s="198"/>
      <c r="AD354" s="115"/>
      <c r="AE354" s="115"/>
      <c r="AF354" s="115"/>
      <c r="AG354" s="115"/>
      <c r="AH354" s="115"/>
      <c r="AI354" s="115"/>
      <c r="AJ354" s="115"/>
      <c r="AK354" s="115"/>
      <c r="AL354" s="115"/>
      <c r="AM354" s="115"/>
      <c r="AN354" s="115"/>
      <c r="AO354" s="115"/>
    </row>
    <row r="355" spans="29:41" x14ac:dyDescent="0.2">
      <c r="AC355" s="198"/>
      <c r="AD355" s="115"/>
      <c r="AE355" s="115"/>
      <c r="AF355" s="115"/>
      <c r="AG355" s="115"/>
      <c r="AH355" s="115"/>
      <c r="AI355" s="115"/>
      <c r="AJ355" s="115"/>
      <c r="AK355" s="115"/>
      <c r="AL355" s="115"/>
      <c r="AM355" s="115"/>
      <c r="AN355" s="115"/>
      <c r="AO355" s="115"/>
    </row>
    <row r="356" spans="29:41" x14ac:dyDescent="0.2">
      <c r="AC356" s="198"/>
      <c r="AD356" s="115"/>
      <c r="AE356" s="115"/>
      <c r="AF356" s="115"/>
      <c r="AG356" s="115"/>
      <c r="AH356" s="115"/>
      <c r="AI356" s="115"/>
      <c r="AJ356" s="115"/>
      <c r="AK356" s="115"/>
      <c r="AL356" s="115"/>
      <c r="AM356" s="115"/>
      <c r="AN356" s="115"/>
      <c r="AO356" s="115"/>
    </row>
    <row r="357" spans="29:41" x14ac:dyDescent="0.2">
      <c r="AC357" s="198"/>
    </row>
    <row r="358" spans="29:41" x14ac:dyDescent="0.2">
      <c r="AC358" s="198"/>
    </row>
    <row r="359" spans="29:41" x14ac:dyDescent="0.2">
      <c r="AC359" s="198"/>
    </row>
    <row r="360" spans="29:41" x14ac:dyDescent="0.2">
      <c r="AC360" s="198"/>
    </row>
    <row r="361" spans="29:41" x14ac:dyDescent="0.2">
      <c r="AC361" s="198"/>
    </row>
    <row r="362" spans="29:41" x14ac:dyDescent="0.2">
      <c r="AC362" s="198"/>
    </row>
    <row r="363" spans="29:41" x14ac:dyDescent="0.2">
      <c r="AC363" s="198"/>
    </row>
    <row r="364" spans="29:41" x14ac:dyDescent="0.2">
      <c r="AC364" s="198"/>
    </row>
    <row r="365" spans="29:41" x14ac:dyDescent="0.2">
      <c r="AC365" s="198"/>
    </row>
    <row r="366" spans="29:41" x14ac:dyDescent="0.2">
      <c r="AC366" s="103"/>
    </row>
  </sheetData>
  <sheetProtection algorithmName="SHA-512" hashValue="6Ax/eemj24NB7CgGZ06qrczCriJy5x1p94SJyI2PqhkDwVrpjcRel9deHM46Mq8lEBkDF7DW+LIyLhYjSYh1Lg==" saltValue="63yCMI9tLZ7OhIrYdftTjw==" spinCount="100000" sheet="1" objects="1" scenarios="1" selectLockedCells="1"/>
  <mergeCells count="47">
    <mergeCell ref="V6:AB13"/>
    <mergeCell ref="G23:H23"/>
    <mergeCell ref="M78:R78"/>
    <mergeCell ref="M81:R81"/>
    <mergeCell ref="G18:H18"/>
    <mergeCell ref="G19:H19"/>
    <mergeCell ref="G20:H20"/>
    <mergeCell ref="G21:H21"/>
    <mergeCell ref="G22:H22"/>
    <mergeCell ref="Q12:S12"/>
    <mergeCell ref="G13:H13"/>
    <mergeCell ref="B2:Q2"/>
    <mergeCell ref="P16:S16"/>
    <mergeCell ref="P20:S20"/>
    <mergeCell ref="C1:I1"/>
    <mergeCell ref="F10:K10"/>
    <mergeCell ref="L10:O10"/>
    <mergeCell ref="M16:N16"/>
    <mergeCell ref="M12:N13"/>
    <mergeCell ref="G12:J12"/>
    <mergeCell ref="G8:J8"/>
    <mergeCell ref="G16:J16"/>
    <mergeCell ref="G17:H17"/>
    <mergeCell ref="AJ36:AK36"/>
    <mergeCell ref="P26:S26"/>
    <mergeCell ref="F26:K26"/>
    <mergeCell ref="L26:O26"/>
    <mergeCell ref="L68:O68"/>
    <mergeCell ref="F68:K68"/>
    <mergeCell ref="AF36:AG36"/>
    <mergeCell ref="AH36:AI36"/>
    <mergeCell ref="F52:K52"/>
    <mergeCell ref="L52:O52"/>
    <mergeCell ref="P52:S52"/>
    <mergeCell ref="P39:S39"/>
    <mergeCell ref="F39:K39"/>
    <mergeCell ref="L39:O39"/>
    <mergeCell ref="D99:AB99"/>
    <mergeCell ref="D93:AB93"/>
    <mergeCell ref="C36:D36"/>
    <mergeCell ref="G91:K91"/>
    <mergeCell ref="G92:K92"/>
    <mergeCell ref="D91:F91"/>
    <mergeCell ref="D92:F92"/>
    <mergeCell ref="D90:AB90"/>
    <mergeCell ref="F76:K76"/>
    <mergeCell ref="L76:O76"/>
  </mergeCells>
  <phoneticPr fontId="2" type="noConversion"/>
  <conditionalFormatting sqref="G87:J87">
    <cfRule type="cellIs" dxfId="15" priority="43" stopIfTrue="1" operator="lessThan">
      <formula>0</formula>
    </cfRule>
    <cfRule type="cellIs" dxfId="14" priority="44" stopIfTrue="1" operator="greaterThan">
      <formula>0</formula>
    </cfRule>
  </conditionalFormatting>
  <conditionalFormatting sqref="G14">
    <cfRule type="expression" dxfId="13" priority="3">
      <formula>$G$13="Akku kaufen!"</formula>
    </cfRule>
    <cfRule type="expression" dxfId="12" priority="48">
      <formula>H137=""</formula>
    </cfRule>
  </conditionalFormatting>
  <conditionalFormatting sqref="D14">
    <cfRule type="expression" dxfId="11" priority="4">
      <formula>$G$13="Akku kaufen!"</formula>
    </cfRule>
    <cfRule type="expression" dxfId="10" priority="50">
      <formula>H137=""</formula>
    </cfRule>
  </conditionalFormatting>
  <conditionalFormatting sqref="I14:J14">
    <cfRule type="expression" dxfId="9" priority="39">
      <formula>$G$13="ja"</formula>
    </cfRule>
  </conditionalFormatting>
  <conditionalFormatting sqref="H14">
    <cfRule type="expression" dxfId="8" priority="2">
      <formula>$G$13="Akku kaufen!"</formula>
    </cfRule>
    <cfRule type="expression" dxfId="7" priority="24">
      <formula>H137=""</formula>
    </cfRule>
  </conditionalFormatting>
  <conditionalFormatting sqref="M30:N30 R30">
    <cfRule type="expression" dxfId="6" priority="69">
      <formula>$G$8="Privat"</formula>
    </cfRule>
  </conditionalFormatting>
  <conditionalFormatting sqref="G41:H48 G54:H64 G28:H35">
    <cfRule type="expression" dxfId="5" priority="72">
      <formula>$G$8&lt;&gt;$C$117</formula>
    </cfRule>
  </conditionalFormatting>
  <conditionalFormatting sqref="I28:J36 I41:J48 I54:J64">
    <cfRule type="expression" dxfId="4" priority="75">
      <formula>$G$8=$C$117</formula>
    </cfRule>
  </conditionalFormatting>
  <conditionalFormatting sqref="C48:D48">
    <cfRule type="expression" dxfId="3" priority="11">
      <formula>OR($G$8=$C$117,$G$8=$C$118)</formula>
    </cfRule>
  </conditionalFormatting>
  <conditionalFormatting sqref="R29">
    <cfRule type="expression" dxfId="2" priority="8">
      <formula>$G$8="Privat"</formula>
    </cfRule>
  </conditionalFormatting>
  <conditionalFormatting sqref="D13">
    <cfRule type="expression" dxfId="1" priority="5">
      <formula>H137=""</formula>
    </cfRule>
  </conditionalFormatting>
  <conditionalFormatting sqref="G13:H13">
    <cfRule type="expression" dxfId="0" priority="1">
      <formula>H137=""</formula>
    </cfRule>
  </conditionalFormatting>
  <dataValidations count="4">
    <dataValidation type="list" allowBlank="1" showInputMessage="1" showErrorMessage="1" sqref="G14">
      <formula1>$G$143:$G$145</formula1>
    </dataValidation>
    <dataValidation type="list" allowBlank="1" showInputMessage="1" showErrorMessage="1" sqref="C42">
      <formula1>$AF$58:$AF$61</formula1>
    </dataValidation>
    <dataValidation type="list" allowBlank="1" showInputMessage="1" showErrorMessage="1" sqref="G8:G9">
      <formula1>$C$117:$C$120</formula1>
    </dataValidation>
    <dataValidation type="list" allowBlank="1" showInputMessage="1" showErrorMessage="1" sqref="G13">
      <formula1>$H$136:$H$137</formula1>
    </dataValidation>
  </dataValidations>
  <hyperlinks>
    <hyperlink ref="G92" r:id="rId1"/>
    <hyperlink ref="D102" r:id="rId2"/>
  </hyperlinks>
  <printOptions horizontalCentered="1"/>
  <pageMargins left="0.39370078740157483" right="0.39370078740157483" top="0.59055118110236227" bottom="0.59055118110236227" header="0.51181102362204722" footer="0.51181102362204722"/>
  <pageSetup paperSize="9" scale="50" orientation="portrait" r:id="rId3"/>
  <headerFooter alignWithMargins="0"/>
  <cellWatches>
    <cellWatch r="C133"/>
  </cellWatches>
  <ignoredErrors>
    <ignoredError sqref="I45:I47 I56:I57 I35 I31" unlockedFormula="1"/>
  </ignoredErrors>
  <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'Daten-Benzin-Dieselfahrzeug'!$A$9:$A$14</xm:f>
          </x14:formula1>
          <xm:sqref>O12</xm:sqref>
        </x14:dataValidation>
        <x14:dataValidation type="list" allowBlank="1" showInputMessage="1" showErrorMessage="1">
          <x14:formula1>
            <xm:f>'Daten-Elektrofahrzeug'!$A$22:$A$82</xm:f>
          </x14:formula1>
          <xm:sqref>K12:L12</xm:sqref>
        </x14:dataValidation>
        <x14:dataValidation type="list" allowBlank="1" showInputMessage="1" showErrorMessage="1">
          <x14:formula1>
            <xm:f>'Daten-Benzin-Dieselfahrzeug'!$C$6:$C$253</xm:f>
          </x14:formula1>
          <xm:sqref>M12:N13</xm:sqref>
        </x14:dataValidation>
        <x14:dataValidation type="list" allowBlank="1" showInputMessage="1" showErrorMessage="1">
          <x14:formula1>
            <xm:f>'Daten-Elektrofahrzeug'!C6:C235</xm:f>
          </x14:formula1>
          <xm:sqref>G12:J12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22"/>
  </sheetPr>
  <dimension ref="A1:SF345"/>
  <sheetViews>
    <sheetView topLeftCell="A217" zoomScale="80" zoomScaleNormal="80" workbookViewId="0">
      <selection activeCell="A233" sqref="A233"/>
    </sheetView>
  </sheetViews>
  <sheetFormatPr baseColWidth="10" defaultColWidth="11.375" defaultRowHeight="12.9" x14ac:dyDescent="0.2"/>
  <cols>
    <col min="1" max="1" width="20.75" style="122" customWidth="1"/>
    <col min="2" max="2" width="48.25" style="122" customWidth="1"/>
    <col min="3" max="3" width="48.75" style="122" customWidth="1"/>
    <col min="4" max="6" width="12.75" style="122" customWidth="1"/>
    <col min="7" max="7" width="10.75" style="122" bestFit="1" customWidth="1"/>
    <col min="8" max="8" width="7.75" style="122" bestFit="1" customWidth="1"/>
    <col min="9" max="9" width="13.875" style="122" bestFit="1" customWidth="1"/>
    <col min="10" max="10" width="9.875" style="122" bestFit="1" customWidth="1"/>
    <col min="11" max="11" width="10.125" style="122" bestFit="1" customWidth="1"/>
    <col min="12" max="12" width="10.875" style="122" bestFit="1" customWidth="1"/>
    <col min="13" max="13" width="9.125" style="122" bestFit="1" customWidth="1"/>
    <col min="14" max="14" width="41.125" style="122" bestFit="1" customWidth="1"/>
    <col min="15" max="15" width="12.75" style="122" hidden="1" customWidth="1"/>
    <col min="16" max="30" width="12.75" style="122" customWidth="1"/>
    <col min="31" max="31" width="15.125" style="122" customWidth="1"/>
    <col min="32" max="32" width="4.625" style="122" bestFit="1" customWidth="1"/>
    <col min="33" max="33" width="13.875" style="122" bestFit="1" customWidth="1"/>
    <col min="34" max="34" width="15.25" style="122" customWidth="1"/>
    <col min="35" max="40" width="11.375" style="122"/>
    <col min="41" max="41" width="3" style="122" bestFit="1" customWidth="1"/>
    <col min="42" max="48" width="11.375" style="122"/>
    <col min="49" max="49" width="20.125" style="122" customWidth="1"/>
    <col min="50" max="16384" width="11.375" style="122"/>
  </cols>
  <sheetData>
    <row r="1" spans="1:500" ht="12.75" customHeight="1" x14ac:dyDescent="0.25">
      <c r="A1" s="722" t="s">
        <v>2529</v>
      </c>
      <c r="B1" s="722"/>
      <c r="C1" s="722"/>
      <c r="D1" s="564"/>
      <c r="E1" s="310"/>
      <c r="F1" s="310"/>
      <c r="G1" s="310"/>
      <c r="H1" s="310"/>
      <c r="I1" s="310"/>
      <c r="J1" s="310"/>
      <c r="K1" s="310"/>
      <c r="L1" s="234"/>
      <c r="M1" s="234"/>
      <c r="N1" s="234"/>
      <c r="O1" s="234"/>
      <c r="P1" s="234"/>
      <c r="Q1" s="234"/>
      <c r="R1" s="234"/>
      <c r="S1" s="234"/>
      <c r="T1" s="234"/>
      <c r="U1" s="234"/>
      <c r="V1" s="234"/>
      <c r="W1" s="234"/>
      <c r="X1" s="234"/>
      <c r="Y1" s="234"/>
      <c r="Z1" s="234"/>
      <c r="AA1" s="234"/>
      <c r="AB1" s="234"/>
      <c r="AC1" s="234"/>
      <c r="AD1" s="234"/>
      <c r="AE1" s="210"/>
      <c r="AF1" s="210"/>
      <c r="AG1" s="219" t="s">
        <v>2532</v>
      </c>
      <c r="AH1" s="210"/>
      <c r="AI1" s="210"/>
      <c r="AJ1" s="210"/>
      <c r="AK1" s="210"/>
      <c r="AL1" s="210"/>
      <c r="AM1" s="210"/>
      <c r="AN1" s="306"/>
      <c r="AO1" s="306"/>
      <c r="AP1" s="307" t="s">
        <v>2976</v>
      </c>
      <c r="AQ1" s="306"/>
      <c r="AR1" s="306"/>
      <c r="AS1" s="306"/>
      <c r="AT1" s="306"/>
      <c r="AU1" s="306"/>
      <c r="AV1" s="305"/>
      <c r="AW1" s="305"/>
      <c r="AX1" s="211"/>
      <c r="AY1" s="211"/>
      <c r="AZ1" s="211"/>
      <c r="BA1" s="211"/>
      <c r="BB1" s="211"/>
      <c r="BC1" s="211"/>
      <c r="BD1" s="211"/>
      <c r="BE1" s="211"/>
      <c r="BF1" s="211"/>
      <c r="BG1" s="211"/>
      <c r="BH1" s="211"/>
      <c r="BI1" s="211"/>
      <c r="BJ1" s="211"/>
      <c r="BK1" s="211"/>
      <c r="BL1" s="211"/>
    </row>
    <row r="2" spans="1:500" ht="13.75" customHeight="1" x14ac:dyDescent="0.35">
      <c r="A2" s="726" t="s">
        <v>2797</v>
      </c>
      <c r="B2" s="726"/>
      <c r="C2" s="726"/>
      <c r="D2" s="565"/>
      <c r="E2" s="484"/>
      <c r="F2" s="484"/>
      <c r="G2" s="724" t="s">
        <v>2545</v>
      </c>
      <c r="H2" s="725"/>
      <c r="I2" s="548" t="s">
        <v>2556</v>
      </c>
      <c r="J2" s="311"/>
      <c r="K2" s="311"/>
      <c r="L2" s="234"/>
      <c r="M2" s="455"/>
      <c r="N2" s="455"/>
      <c r="O2" s="455"/>
      <c r="P2" s="597"/>
      <c r="Q2" s="597"/>
      <c r="R2" s="597"/>
      <c r="S2" s="597"/>
      <c r="T2" s="597"/>
      <c r="U2" s="597"/>
      <c r="V2" s="597"/>
      <c r="W2" s="597"/>
      <c r="X2" s="597"/>
      <c r="Y2" s="597"/>
      <c r="Z2" s="597"/>
      <c r="AA2" s="597"/>
      <c r="AB2" s="597"/>
      <c r="AC2" s="597"/>
      <c r="AD2" s="597"/>
      <c r="AE2" s="307">
        <f>VLOOKUP(AF2,AG2:AL5,IF(AM7+1&lt;=1,6,AM7+1),TRUE)</f>
        <v>86</v>
      </c>
      <c r="AF2" s="306">
        <f>IF(Eingabe!G14&lt;='Daten-Elektrofahrzeug'!AG3,'Daten-Elektrofahrzeug'!AG3,IF(Eingabe!G14&lt;='Daten-Elektrofahrzeug'!AG4,'Daten-Elektrofahrzeug'!AG4,'Daten-Elektrofahrzeug'!AG5))</f>
        <v>36</v>
      </c>
      <c r="AG2" s="566" t="s">
        <v>2528</v>
      </c>
      <c r="AH2" s="567">
        <v>12500</v>
      </c>
      <c r="AI2" s="567">
        <v>15000</v>
      </c>
      <c r="AJ2" s="567">
        <v>17500</v>
      </c>
      <c r="AK2" s="567">
        <v>20000</v>
      </c>
      <c r="AL2" s="567">
        <v>25000</v>
      </c>
      <c r="AM2" s="306"/>
      <c r="AN2" s="307">
        <f>VLOOKUP(AO2,AP2:AW5,IF(AX7+1&lt;=1,8,AX7+1),TRUE)</f>
        <v>89</v>
      </c>
      <c r="AO2" s="306">
        <f>IF(Eingabe!$G$14&lt;='Daten-Elektrofahrzeug'!AP3,'Daten-Elektrofahrzeug'!AP3,IF(Eingabe!$G$14&lt;='Daten-Elektrofahrzeug'!AP4,'Daten-Elektrofahrzeug'!AP4,'Daten-Elektrofahrzeug'!AP5))</f>
        <v>36</v>
      </c>
      <c r="AP2" s="566" t="s">
        <v>2528</v>
      </c>
      <c r="AQ2" s="567">
        <v>7500</v>
      </c>
      <c r="AR2" s="567">
        <v>10000</v>
      </c>
      <c r="AS2" s="567">
        <v>12500</v>
      </c>
      <c r="AT2" s="567">
        <v>15000</v>
      </c>
      <c r="AU2" s="567">
        <v>17500</v>
      </c>
      <c r="AV2" s="567">
        <v>20000</v>
      </c>
      <c r="AW2" s="567">
        <v>20200</v>
      </c>
      <c r="AX2" s="211"/>
      <c r="AY2" s="211"/>
      <c r="AZ2" s="211"/>
      <c r="BA2" s="211"/>
      <c r="BB2" s="211"/>
      <c r="BC2" s="211"/>
      <c r="BD2" s="211"/>
      <c r="BE2" s="211"/>
      <c r="BF2" s="211"/>
      <c r="BG2" s="211"/>
      <c r="BH2" s="211"/>
      <c r="BI2" s="211"/>
      <c r="BJ2" s="211"/>
      <c r="BK2" s="211"/>
      <c r="BL2" s="211"/>
    </row>
    <row r="3" spans="1:500" ht="13.6" x14ac:dyDescent="0.25">
      <c r="A3" s="548" t="s">
        <v>2499</v>
      </c>
      <c r="B3" s="548" t="s">
        <v>2495</v>
      </c>
      <c r="C3" s="548"/>
      <c r="D3" s="548" t="s">
        <v>2740</v>
      </c>
      <c r="E3" s="548" t="s">
        <v>2496</v>
      </c>
      <c r="F3" s="548" t="s">
        <v>2497</v>
      </c>
      <c r="G3" s="723" t="s">
        <v>2498</v>
      </c>
      <c r="H3" s="723"/>
      <c r="I3" s="548" t="s">
        <v>2498</v>
      </c>
      <c r="J3" s="724" t="s">
        <v>2533</v>
      </c>
      <c r="K3" s="725"/>
      <c r="L3" s="724" t="s">
        <v>2534</v>
      </c>
      <c r="M3" s="725"/>
      <c r="N3" s="548" t="s">
        <v>2874</v>
      </c>
      <c r="O3" s="471"/>
      <c r="P3" s="598"/>
      <c r="Q3" s="598"/>
      <c r="R3" s="598"/>
      <c r="S3" s="598"/>
      <c r="T3" s="598"/>
      <c r="U3" s="598"/>
      <c r="V3" s="598"/>
      <c r="W3" s="598"/>
      <c r="X3" s="598"/>
      <c r="Y3" s="598"/>
      <c r="Z3" s="598"/>
      <c r="AA3" s="598"/>
      <c r="AB3" s="598"/>
      <c r="AC3" s="598"/>
      <c r="AD3" s="598"/>
      <c r="AE3" s="599"/>
      <c r="AF3" s="600"/>
      <c r="AG3" s="567">
        <v>12</v>
      </c>
      <c r="AH3" s="568">
        <v>99</v>
      </c>
      <c r="AI3" s="568">
        <v>106</v>
      </c>
      <c r="AJ3" s="568">
        <v>114</v>
      </c>
      <c r="AK3" s="568">
        <v>122</v>
      </c>
      <c r="AL3" s="568">
        <v>142</v>
      </c>
      <c r="AM3" s="306"/>
      <c r="AN3" s="306"/>
      <c r="AO3" s="306"/>
      <c r="AP3" s="567">
        <v>12</v>
      </c>
      <c r="AQ3" s="568">
        <v>59</v>
      </c>
      <c r="AR3" s="568">
        <v>69</v>
      </c>
      <c r="AS3" s="568">
        <v>79</v>
      </c>
      <c r="AT3" s="568">
        <v>89</v>
      </c>
      <c r="AU3" s="568">
        <v>99</v>
      </c>
      <c r="AV3" s="568">
        <v>109</v>
      </c>
      <c r="AW3" s="568">
        <f>IF(Eingabe!$G$8="privat",119,109)</f>
        <v>119</v>
      </c>
      <c r="AX3" s="211"/>
      <c r="AY3" s="211"/>
      <c r="AZ3" s="211"/>
      <c r="BA3" s="211"/>
      <c r="BB3" s="211"/>
      <c r="BC3" s="211"/>
      <c r="BD3" s="211"/>
      <c r="BE3" s="211"/>
      <c r="BF3" s="211"/>
      <c r="BG3" s="211"/>
      <c r="BH3" s="211"/>
      <c r="BI3" s="211"/>
      <c r="BJ3" s="211"/>
      <c r="BK3" s="211"/>
      <c r="BL3" s="211"/>
    </row>
    <row r="4" spans="1:500" ht="13.6" x14ac:dyDescent="0.25">
      <c r="A4" s="548"/>
      <c r="B4" s="548"/>
      <c r="C4" s="548"/>
      <c r="D4" s="548"/>
      <c r="E4" s="548" t="s">
        <v>2501</v>
      </c>
      <c r="F4" s="660">
        <v>4</v>
      </c>
      <c r="G4" s="229" t="s">
        <v>2503</v>
      </c>
      <c r="H4" s="548" t="s">
        <v>2504</v>
      </c>
      <c r="I4" s="548" t="s">
        <v>2505</v>
      </c>
      <c r="J4" s="548" t="s">
        <v>1573</v>
      </c>
      <c r="K4" s="548" t="s">
        <v>2520</v>
      </c>
      <c r="L4" s="548" t="s">
        <v>1573</v>
      </c>
      <c r="M4" s="548" t="s">
        <v>2520</v>
      </c>
      <c r="N4" s="548"/>
      <c r="O4" s="471"/>
      <c r="P4" s="598"/>
      <c r="Q4" s="598"/>
      <c r="R4" s="598"/>
      <c r="S4" s="598"/>
      <c r="T4" s="598"/>
      <c r="U4" s="598"/>
      <c r="V4" s="598"/>
      <c r="W4" s="598"/>
      <c r="X4" s="598"/>
      <c r="Y4" s="598"/>
      <c r="Z4" s="598"/>
      <c r="AA4" s="598"/>
      <c r="AB4" s="598"/>
      <c r="AC4" s="598"/>
      <c r="AD4" s="598"/>
      <c r="AE4" s="600"/>
      <c r="AF4" s="600"/>
      <c r="AG4" s="567">
        <v>24</v>
      </c>
      <c r="AH4" s="568">
        <v>89</v>
      </c>
      <c r="AI4" s="568">
        <v>96</v>
      </c>
      <c r="AJ4" s="568">
        <v>104</v>
      </c>
      <c r="AK4" s="568">
        <v>112</v>
      </c>
      <c r="AL4" s="568">
        <v>132</v>
      </c>
      <c r="AM4" s="306"/>
      <c r="AN4" s="306"/>
      <c r="AO4" s="306"/>
      <c r="AP4" s="567">
        <v>24</v>
      </c>
      <c r="AQ4" s="568">
        <v>59</v>
      </c>
      <c r="AR4" s="568">
        <v>69</v>
      </c>
      <c r="AS4" s="568">
        <v>79</v>
      </c>
      <c r="AT4" s="568">
        <v>89</v>
      </c>
      <c r="AU4" s="568">
        <v>99</v>
      </c>
      <c r="AV4" s="568">
        <v>109</v>
      </c>
      <c r="AW4" s="568">
        <f>IF(Eingabe!$G$8="privat",119,109)</f>
        <v>119</v>
      </c>
      <c r="AX4" s="211"/>
      <c r="AY4" s="211"/>
      <c r="AZ4" s="211"/>
      <c r="BA4" s="211"/>
      <c r="BB4" s="211"/>
      <c r="BC4" s="211"/>
      <c r="BD4" s="211"/>
      <c r="BE4" s="211"/>
      <c r="BF4" s="211"/>
      <c r="BG4" s="211"/>
      <c r="BH4" s="211"/>
      <c r="BI4" s="211"/>
      <c r="BJ4" s="211"/>
      <c r="BK4" s="211"/>
      <c r="BL4" s="211"/>
    </row>
    <row r="5" spans="1:500" ht="12.75" customHeight="1" x14ac:dyDescent="0.25">
      <c r="A5" s="548"/>
      <c r="B5" s="548"/>
      <c r="C5" s="548">
        <v>1</v>
      </c>
      <c r="D5" s="548">
        <v>2</v>
      </c>
      <c r="E5" s="548">
        <v>3</v>
      </c>
      <c r="F5" s="548">
        <v>4</v>
      </c>
      <c r="G5" s="229">
        <v>5</v>
      </c>
      <c r="H5" s="548">
        <v>6</v>
      </c>
      <c r="I5" s="548">
        <v>7</v>
      </c>
      <c r="J5" s="548">
        <v>8</v>
      </c>
      <c r="K5" s="548">
        <v>9</v>
      </c>
      <c r="L5" s="548">
        <v>10</v>
      </c>
      <c r="M5" s="548">
        <v>11</v>
      </c>
      <c r="N5" s="548">
        <v>12</v>
      </c>
      <c r="O5" s="471"/>
      <c r="P5" s="598"/>
      <c r="Q5" s="598"/>
      <c r="R5" s="598"/>
      <c r="S5" s="598"/>
      <c r="T5" s="598"/>
      <c r="U5" s="598"/>
      <c r="V5" s="598"/>
      <c r="W5" s="598"/>
      <c r="X5" s="598"/>
      <c r="Y5" s="598"/>
      <c r="Z5" s="598"/>
      <c r="AA5" s="598"/>
      <c r="AB5" s="598"/>
      <c r="AC5" s="598"/>
      <c r="AD5" s="598"/>
      <c r="AE5" s="600"/>
      <c r="AF5" s="600"/>
      <c r="AG5" s="567">
        <v>36</v>
      </c>
      <c r="AH5" s="568">
        <v>79</v>
      </c>
      <c r="AI5" s="568">
        <v>86</v>
      </c>
      <c r="AJ5" s="568">
        <v>94</v>
      </c>
      <c r="AK5" s="568">
        <v>102</v>
      </c>
      <c r="AL5" s="568">
        <v>122</v>
      </c>
      <c r="AM5" s="306"/>
      <c r="AN5" s="306"/>
      <c r="AO5" s="306"/>
      <c r="AP5" s="567">
        <v>36</v>
      </c>
      <c r="AQ5" s="568">
        <v>59</v>
      </c>
      <c r="AR5" s="568">
        <v>69</v>
      </c>
      <c r="AS5" s="568">
        <v>79</v>
      </c>
      <c r="AT5" s="568">
        <v>89</v>
      </c>
      <c r="AU5" s="568">
        <v>99</v>
      </c>
      <c r="AV5" s="568">
        <v>109</v>
      </c>
      <c r="AW5" s="568">
        <f>IF(Eingabe!$G$8="privat",119,109)</f>
        <v>119</v>
      </c>
      <c r="AX5" s="211"/>
      <c r="AY5" s="211"/>
      <c r="AZ5" s="211"/>
      <c r="BA5" s="211"/>
      <c r="BB5" s="211"/>
      <c r="BC5" s="211"/>
      <c r="BD5" s="211"/>
      <c r="BE5" s="211"/>
      <c r="BF5" s="211"/>
      <c r="BG5" s="211"/>
      <c r="BH5" s="211"/>
      <c r="BI5" s="211"/>
      <c r="BJ5" s="211"/>
      <c r="BK5" s="211"/>
      <c r="BL5" s="211"/>
    </row>
    <row r="6" spans="1:500" ht="30.25" customHeight="1" x14ac:dyDescent="0.25">
      <c r="A6" s="593" t="s">
        <v>2993</v>
      </c>
      <c r="B6" s="593" t="s">
        <v>3339</v>
      </c>
      <c r="C6" s="594" t="str">
        <f>CONCATENATE(A6," ",B6)</f>
        <v>Audi e-tron (50 quattro)</v>
      </c>
      <c r="D6" s="593" t="s">
        <v>2741</v>
      </c>
      <c r="E6" s="593">
        <v>230</v>
      </c>
      <c r="F6" s="593" t="s">
        <v>2521</v>
      </c>
      <c r="G6" s="642">
        <v>23.6</v>
      </c>
      <c r="H6" s="593"/>
      <c r="I6" s="593">
        <v>0</v>
      </c>
      <c r="J6" s="595"/>
      <c r="K6" s="595"/>
      <c r="L6" s="595">
        <v>69100</v>
      </c>
      <c r="M6" s="596"/>
      <c r="N6" s="643" t="s">
        <v>2875</v>
      </c>
      <c r="O6" s="575"/>
      <c r="P6" s="601"/>
      <c r="Q6" s="601"/>
      <c r="R6" s="601"/>
      <c r="S6" s="601"/>
      <c r="T6" s="601"/>
      <c r="U6" s="601"/>
      <c r="V6" s="601"/>
      <c r="W6" s="601"/>
      <c r="X6" s="601"/>
      <c r="Y6" s="601"/>
      <c r="Z6" s="601"/>
      <c r="AA6" s="601"/>
      <c r="AB6" s="601"/>
      <c r="AC6" s="601"/>
      <c r="AD6" s="601"/>
      <c r="AE6" s="602"/>
      <c r="AF6" s="600"/>
      <c r="AG6" s="306"/>
      <c r="AH6" s="569" t="b">
        <f>IF(AND(Eingabe!$G$7&lt;=AH2),AH2)</f>
        <v>0</v>
      </c>
      <c r="AI6" s="569">
        <f>IF(AND(Eingabe!$G$7&lt;=AI2,Eingabe!$G$7&gt;AH2),AI2)</f>
        <v>15000</v>
      </c>
      <c r="AJ6" s="569" t="b">
        <f>IF(AND(Eingabe!$G$7&lt;=AJ2,Eingabe!$G$7&gt;AI2),AJ2)</f>
        <v>0</v>
      </c>
      <c r="AK6" s="569" t="b">
        <f>IF(AND(Eingabe!$G$7&lt;=AK2,Eingabe!$G$7&gt;AJ2),AK2)</f>
        <v>0</v>
      </c>
      <c r="AL6" s="569" t="b">
        <f>IF(AND(Eingabe!$G$7&lt;=AL2,Eingabe!$G$7&gt;AK2),AL2)</f>
        <v>0</v>
      </c>
      <c r="AM6" s="306"/>
      <c r="AN6" s="306"/>
      <c r="AO6" s="306"/>
      <c r="AP6" s="306"/>
      <c r="AQ6" s="569" t="b">
        <f>IF(AND(Eingabe!$G$7&lt;=AQ2),AQ2)</f>
        <v>0</v>
      </c>
      <c r="AR6" s="569" t="b">
        <f>IF(AND(Eingabe!$G$7&lt;=AR2,Eingabe!$G$7&gt;AQ2),AR2)</f>
        <v>0</v>
      </c>
      <c r="AS6" s="569" t="b">
        <f>IF(AND(Eingabe!$G$7&lt;=AS2,Eingabe!$G$7&gt;AR2),AS2)</f>
        <v>0</v>
      </c>
      <c r="AT6" s="569">
        <f>IF(AND(Eingabe!$G$7&lt;=AT2,Eingabe!$G$7&gt;AS2),AT2)</f>
        <v>15000</v>
      </c>
      <c r="AU6" s="569" t="b">
        <f>IF(AND(Eingabe!$G$7&lt;=AU2,Eingabe!$G$7&gt;AT2),AU2)</f>
        <v>0</v>
      </c>
      <c r="AV6" s="569" t="b">
        <f>IF(AND(Eingabe!$G$7&lt;=AV2,Eingabe!$G$7&gt;AU2),AV2)</f>
        <v>0</v>
      </c>
      <c r="AW6" s="569" t="b">
        <f>IF(AND(Eingabe!$G$7&lt;=AW2,Eingabe!$G$7&gt;AV2),AW2)</f>
        <v>0</v>
      </c>
      <c r="AX6" s="211"/>
      <c r="AY6" s="211"/>
      <c r="AZ6" s="211"/>
      <c r="BA6" s="211"/>
      <c r="BB6" s="211"/>
      <c r="BC6" s="211"/>
      <c r="BD6" s="211"/>
      <c r="BE6" s="211"/>
      <c r="BF6" s="211"/>
      <c r="BG6" s="211"/>
      <c r="BH6" s="211"/>
      <c r="BI6" s="211"/>
      <c r="BJ6" s="211"/>
      <c r="BK6" s="211"/>
      <c r="BL6" s="211"/>
    </row>
    <row r="7" spans="1:500" ht="30.25" customHeight="1" x14ac:dyDescent="0.25">
      <c r="A7" s="593" t="s">
        <v>2993</v>
      </c>
      <c r="B7" s="593" t="s">
        <v>3340</v>
      </c>
      <c r="C7" s="594" t="str">
        <f>CONCATENATE(A7," ",B7)</f>
        <v>Audi e-tron (55 quattro)</v>
      </c>
      <c r="D7" s="593" t="s">
        <v>2741</v>
      </c>
      <c r="E7" s="593">
        <v>300</v>
      </c>
      <c r="F7" s="593" t="s">
        <v>2521</v>
      </c>
      <c r="G7" s="642">
        <v>24.2</v>
      </c>
      <c r="H7" s="593"/>
      <c r="I7" s="593">
        <v>0</v>
      </c>
      <c r="J7" s="595"/>
      <c r="K7" s="595"/>
      <c r="L7" s="595">
        <v>81500</v>
      </c>
      <c r="M7" s="596"/>
      <c r="N7" s="643" t="s">
        <v>2875</v>
      </c>
      <c r="O7" s="575"/>
      <c r="P7" s="601"/>
      <c r="Q7" s="601"/>
      <c r="R7" s="603"/>
      <c r="S7" s="603"/>
      <c r="T7" s="603"/>
      <c r="U7" s="603"/>
      <c r="V7" s="603"/>
      <c r="W7" s="603"/>
      <c r="X7" s="603"/>
      <c r="Y7" s="603"/>
      <c r="Z7" s="603"/>
      <c r="AA7" s="603"/>
      <c r="AB7" s="603"/>
      <c r="AC7" s="603"/>
      <c r="AD7" s="603"/>
      <c r="AE7" s="600"/>
      <c r="AF7" s="600"/>
      <c r="AG7" s="306"/>
      <c r="AH7" s="306">
        <f>IF(AH6=AH2,1,0)</f>
        <v>0</v>
      </c>
      <c r="AI7" s="306">
        <f>IF(AI6=AI2,2,0)</f>
        <v>2</v>
      </c>
      <c r="AJ7" s="306">
        <f>IF(AJ6=AJ2,3,0)</f>
        <v>0</v>
      </c>
      <c r="AK7" s="306">
        <f>IF(AK6=AK2,4,0)</f>
        <v>0</v>
      </c>
      <c r="AL7" s="306">
        <f>IF(AL6=AL2,5,0)</f>
        <v>0</v>
      </c>
      <c r="AM7" s="306">
        <f>SUM(AH7:AL7)</f>
        <v>2</v>
      </c>
      <c r="AN7" s="306"/>
      <c r="AO7" s="306"/>
      <c r="AP7" s="306"/>
      <c r="AQ7" s="306">
        <f>IF(AQ6=AQ2,1,0)</f>
        <v>0</v>
      </c>
      <c r="AR7" s="306">
        <f>IF(AR6=AR2,2,0)</f>
        <v>0</v>
      </c>
      <c r="AS7" s="306">
        <f>IF(AS6=AS2,3,0)</f>
        <v>0</v>
      </c>
      <c r="AT7" s="306">
        <f>IF(AT6=AT2,4,0)</f>
        <v>4</v>
      </c>
      <c r="AU7" s="306">
        <f>IF(AU6=AU2,5,0)</f>
        <v>0</v>
      </c>
      <c r="AV7" s="306">
        <f>IF(AV6=AV2,6,0)</f>
        <v>0</v>
      </c>
      <c r="AW7" s="306">
        <f>IF(AW6=AW2,7,0)</f>
        <v>0</v>
      </c>
      <c r="AX7" s="305">
        <f>SUM(AQ7:AW7)</f>
        <v>4</v>
      </c>
      <c r="AY7" s="211"/>
      <c r="AZ7" s="211"/>
      <c r="BA7" s="211"/>
      <c r="BB7" s="211"/>
      <c r="BC7" s="211"/>
      <c r="BD7" s="211"/>
      <c r="BE7" s="211"/>
      <c r="BF7" s="211"/>
      <c r="BG7" s="211"/>
      <c r="BH7" s="211"/>
      <c r="BI7" s="211"/>
      <c r="BJ7" s="211"/>
      <c r="BK7" s="211"/>
      <c r="BL7" s="211"/>
    </row>
    <row r="8" spans="1:500" ht="30.25" customHeight="1" x14ac:dyDescent="0.25">
      <c r="A8" s="593" t="s">
        <v>2993</v>
      </c>
      <c r="B8" s="593" t="s">
        <v>3341</v>
      </c>
      <c r="C8" s="594" t="str">
        <f>CONCATENATE(A8," ",B8)</f>
        <v>Audi e-tron advanced (50 quattro)</v>
      </c>
      <c r="D8" s="593" t="s">
        <v>2741</v>
      </c>
      <c r="E8" s="593">
        <v>230</v>
      </c>
      <c r="F8" s="593" t="s">
        <v>2521</v>
      </c>
      <c r="G8" s="642">
        <v>23.6</v>
      </c>
      <c r="H8" s="593"/>
      <c r="I8" s="593">
        <v>0</v>
      </c>
      <c r="J8" s="595"/>
      <c r="K8" s="595"/>
      <c r="L8" s="595">
        <v>70550</v>
      </c>
      <c r="M8" s="596"/>
      <c r="N8" s="643" t="s">
        <v>2875</v>
      </c>
      <c r="O8" s="575"/>
      <c r="P8" s="601"/>
      <c r="Q8" s="603"/>
      <c r="R8" s="603"/>
      <c r="S8" s="603"/>
      <c r="T8" s="603"/>
      <c r="U8" s="603"/>
      <c r="V8" s="603"/>
      <c r="W8" s="603"/>
      <c r="X8" s="603"/>
      <c r="Y8" s="603"/>
      <c r="Z8" s="603"/>
      <c r="AA8" s="603"/>
      <c r="AB8" s="603"/>
      <c r="AC8" s="603"/>
      <c r="AD8" s="603"/>
      <c r="AE8" s="600"/>
      <c r="AF8" s="600"/>
      <c r="AG8" s="306"/>
      <c r="AH8" s="306"/>
      <c r="AI8" s="306"/>
      <c r="AJ8" s="306"/>
      <c r="AK8" s="306"/>
      <c r="AL8" s="306"/>
      <c r="AM8" s="306"/>
      <c r="AN8" s="306"/>
      <c r="AO8" s="306"/>
      <c r="AP8" s="306"/>
      <c r="AQ8" s="306"/>
      <c r="AR8" s="306"/>
      <c r="AS8" s="306"/>
      <c r="AT8" s="306"/>
      <c r="AU8" s="306"/>
      <c r="AV8" s="306"/>
      <c r="AW8" s="306"/>
      <c r="AX8" s="305"/>
      <c r="AY8" s="211"/>
      <c r="AZ8" s="211"/>
      <c r="BA8" s="211"/>
      <c r="BB8" s="211"/>
      <c r="BC8" s="211"/>
      <c r="BD8" s="211"/>
      <c r="BE8" s="211"/>
      <c r="BF8" s="211"/>
      <c r="BG8" s="211"/>
      <c r="BH8" s="211"/>
      <c r="BI8" s="211"/>
      <c r="BJ8" s="211"/>
      <c r="BK8" s="211"/>
      <c r="BL8" s="211"/>
    </row>
    <row r="9" spans="1:500" ht="30.25" customHeight="1" x14ac:dyDescent="0.25">
      <c r="A9" s="593" t="s">
        <v>2993</v>
      </c>
      <c r="B9" s="593" t="s">
        <v>3342</v>
      </c>
      <c r="C9" s="594" t="str">
        <f t="shared" ref="C9:C21" si="0">CONCATENATE(A9," ",B9)</f>
        <v>Audi e-tron advanced (55 quattro)</v>
      </c>
      <c r="D9" s="593" t="s">
        <v>2741</v>
      </c>
      <c r="E9" s="593">
        <v>300</v>
      </c>
      <c r="F9" s="593" t="s">
        <v>2521</v>
      </c>
      <c r="G9" s="642">
        <v>24.2</v>
      </c>
      <c r="H9" s="593"/>
      <c r="I9" s="593">
        <v>0</v>
      </c>
      <c r="J9" s="595"/>
      <c r="K9" s="595"/>
      <c r="L9" s="595">
        <v>82950</v>
      </c>
      <c r="M9" s="596"/>
      <c r="N9" s="643" t="s">
        <v>2875</v>
      </c>
      <c r="O9" s="575"/>
      <c r="P9" s="601"/>
      <c r="Q9" s="603"/>
      <c r="R9" s="603"/>
      <c r="S9" s="603"/>
      <c r="T9" s="603"/>
      <c r="U9" s="603"/>
      <c r="V9" s="603"/>
      <c r="W9" s="603"/>
      <c r="X9" s="603"/>
      <c r="Y9" s="603"/>
      <c r="Z9" s="603"/>
      <c r="AA9" s="603"/>
      <c r="AB9" s="603"/>
      <c r="AC9" s="603"/>
      <c r="AD9" s="603"/>
      <c r="AE9" s="600"/>
      <c r="AF9" s="600"/>
      <c r="AG9" s="306"/>
      <c r="AH9" s="306"/>
      <c r="AI9" s="306"/>
      <c r="AJ9" s="306"/>
      <c r="AK9" s="306"/>
      <c r="AL9" s="306"/>
      <c r="AM9" s="306"/>
      <c r="AN9" s="306"/>
      <c r="AO9" s="306"/>
      <c r="AP9" s="306"/>
      <c r="AQ9" s="306"/>
      <c r="AR9" s="306"/>
      <c r="AS9" s="306"/>
      <c r="AT9" s="306"/>
      <c r="AU9" s="306"/>
      <c r="AV9" s="306"/>
      <c r="AW9" s="306"/>
      <c r="AX9" s="305"/>
      <c r="AY9" s="211"/>
      <c r="AZ9" s="211"/>
      <c r="BA9" s="211"/>
      <c r="BB9" s="211"/>
      <c r="BC9" s="211"/>
      <c r="BD9" s="211"/>
      <c r="BE9" s="211"/>
      <c r="BF9" s="211"/>
      <c r="BG9" s="211"/>
      <c r="BH9" s="211"/>
      <c r="BI9" s="211"/>
      <c r="BJ9" s="211"/>
      <c r="BK9" s="211"/>
      <c r="BL9" s="211"/>
    </row>
    <row r="10" spans="1:500" s="657" customFormat="1" ht="30.25" customHeight="1" x14ac:dyDescent="0.25">
      <c r="A10" s="593" t="s">
        <v>2993</v>
      </c>
      <c r="B10" s="593" t="s">
        <v>3416</v>
      </c>
      <c r="C10" s="594" t="str">
        <f t="shared" si="0"/>
        <v>Audi e-tron business (50 quattro)</v>
      </c>
      <c r="D10" s="593" t="s">
        <v>2741</v>
      </c>
      <c r="E10" s="593">
        <v>230</v>
      </c>
      <c r="F10" s="593" t="s">
        <v>2521</v>
      </c>
      <c r="G10" s="642">
        <v>24.2</v>
      </c>
      <c r="H10" s="593"/>
      <c r="I10" s="593">
        <v>0</v>
      </c>
      <c r="J10" s="595"/>
      <c r="K10" s="595"/>
      <c r="L10" s="595">
        <v>59990</v>
      </c>
      <c r="M10" s="596"/>
      <c r="N10" s="643" t="s">
        <v>2875</v>
      </c>
      <c r="O10" s="656"/>
      <c r="P10" s="601"/>
      <c r="Q10" s="603"/>
      <c r="R10" s="603"/>
      <c r="S10" s="603"/>
      <c r="T10" s="603"/>
      <c r="U10" s="603"/>
      <c r="V10" s="603"/>
      <c r="W10" s="603"/>
      <c r="X10" s="603"/>
      <c r="Y10" s="603"/>
      <c r="Z10" s="603"/>
      <c r="AA10" s="603"/>
      <c r="AB10" s="603"/>
      <c r="AC10" s="603"/>
      <c r="AD10" s="603"/>
      <c r="AE10" s="611"/>
      <c r="AF10" s="611"/>
      <c r="AG10" s="119"/>
      <c r="AH10" s="119"/>
      <c r="AI10" s="119"/>
      <c r="AJ10" s="119"/>
      <c r="AK10" s="119"/>
      <c r="AL10" s="119"/>
      <c r="AM10" s="119"/>
      <c r="AN10" s="119"/>
      <c r="AO10" s="119"/>
      <c r="AP10" s="119"/>
      <c r="AQ10" s="119"/>
      <c r="AR10" s="119"/>
      <c r="AS10" s="119"/>
      <c r="AT10" s="119"/>
      <c r="AU10" s="119"/>
      <c r="AV10" s="119"/>
      <c r="AW10" s="119"/>
      <c r="AX10" s="120"/>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c r="GX10" s="122"/>
      <c r="GY10" s="122"/>
      <c r="GZ10" s="122"/>
      <c r="HA10" s="122"/>
      <c r="HB10" s="122"/>
      <c r="HC10" s="122"/>
      <c r="HD10" s="122"/>
      <c r="HE10" s="122"/>
      <c r="HF10" s="122"/>
      <c r="HG10" s="122"/>
      <c r="HH10" s="122"/>
      <c r="HI10" s="122"/>
      <c r="HJ10" s="122"/>
      <c r="HK10" s="122"/>
      <c r="HL10" s="122"/>
      <c r="HM10" s="122"/>
      <c r="HN10" s="122"/>
      <c r="HO10" s="122"/>
      <c r="HP10" s="122"/>
      <c r="HQ10" s="122"/>
      <c r="HR10" s="122"/>
      <c r="HS10" s="122"/>
      <c r="HT10" s="122"/>
      <c r="HU10" s="122"/>
      <c r="HV10" s="122"/>
      <c r="HW10" s="122"/>
      <c r="HX10" s="122"/>
      <c r="HY10" s="122"/>
      <c r="HZ10" s="122"/>
      <c r="IA10" s="122"/>
      <c r="IB10" s="122"/>
      <c r="IC10" s="122"/>
      <c r="ID10" s="122"/>
      <c r="IE10" s="122"/>
      <c r="IF10" s="122"/>
      <c r="IG10" s="122"/>
      <c r="IH10" s="122"/>
      <c r="II10" s="122"/>
      <c r="IJ10" s="122"/>
      <c r="IK10" s="122"/>
      <c r="IL10" s="122"/>
      <c r="IM10" s="122"/>
      <c r="IN10" s="122"/>
      <c r="IO10" s="122"/>
      <c r="IP10" s="122"/>
      <c r="IQ10" s="122"/>
      <c r="IR10" s="122"/>
      <c r="IS10" s="122"/>
      <c r="IT10" s="122"/>
      <c r="IU10" s="122"/>
      <c r="IV10" s="122"/>
      <c r="IW10" s="122"/>
      <c r="IX10" s="122"/>
      <c r="IY10" s="122"/>
      <c r="IZ10" s="122"/>
      <c r="JA10" s="122"/>
      <c r="JB10" s="122"/>
      <c r="JC10" s="122"/>
      <c r="JD10" s="122"/>
      <c r="JE10" s="122"/>
      <c r="JF10" s="122"/>
      <c r="JG10" s="122"/>
      <c r="JH10" s="122"/>
      <c r="JI10" s="122"/>
      <c r="JJ10" s="122"/>
      <c r="JK10" s="122"/>
      <c r="JL10" s="122"/>
      <c r="JM10" s="122"/>
      <c r="JN10" s="122"/>
      <c r="JO10" s="122"/>
      <c r="JP10" s="122"/>
      <c r="JQ10" s="122"/>
      <c r="JR10" s="122"/>
      <c r="JS10" s="122"/>
      <c r="JT10" s="122"/>
      <c r="JU10" s="122"/>
      <c r="JV10" s="122"/>
      <c r="JW10" s="122"/>
      <c r="JX10" s="122"/>
      <c r="JY10" s="122"/>
      <c r="JZ10" s="122"/>
      <c r="KA10" s="122"/>
      <c r="KB10" s="122"/>
      <c r="KC10" s="122"/>
      <c r="KD10" s="122"/>
      <c r="KE10" s="122"/>
      <c r="KF10" s="122"/>
      <c r="KG10" s="122"/>
      <c r="KH10" s="122"/>
      <c r="KI10" s="122"/>
      <c r="KJ10" s="122"/>
      <c r="KK10" s="122"/>
      <c r="KL10" s="122"/>
      <c r="KM10" s="122"/>
      <c r="KN10" s="122"/>
      <c r="KO10" s="122"/>
      <c r="KP10" s="122"/>
      <c r="KQ10" s="122"/>
      <c r="KR10" s="122"/>
      <c r="KS10" s="122"/>
      <c r="KT10" s="122"/>
      <c r="KU10" s="122"/>
      <c r="KV10" s="122"/>
      <c r="KW10" s="122"/>
      <c r="KX10" s="122"/>
      <c r="KY10" s="122"/>
      <c r="KZ10" s="122"/>
      <c r="LA10" s="122"/>
      <c r="LB10" s="122"/>
      <c r="LC10" s="122"/>
      <c r="LD10" s="122"/>
      <c r="LE10" s="122"/>
      <c r="LF10" s="122"/>
      <c r="LG10" s="122"/>
      <c r="LH10" s="122"/>
      <c r="LI10" s="122"/>
      <c r="LJ10" s="122"/>
      <c r="LK10" s="122"/>
      <c r="LL10" s="122"/>
      <c r="LM10" s="122"/>
      <c r="LN10" s="122"/>
      <c r="LO10" s="122"/>
      <c r="LP10" s="122"/>
      <c r="LQ10" s="122"/>
      <c r="LR10" s="122"/>
      <c r="LS10" s="122"/>
      <c r="LT10" s="122"/>
      <c r="LU10" s="122"/>
      <c r="LV10" s="122"/>
      <c r="LW10" s="122"/>
      <c r="LX10" s="122"/>
      <c r="LY10" s="122"/>
      <c r="LZ10" s="122"/>
      <c r="MA10" s="122"/>
      <c r="MB10" s="122"/>
      <c r="MC10" s="122"/>
      <c r="MD10" s="122"/>
      <c r="ME10" s="122"/>
      <c r="MF10" s="122"/>
      <c r="MG10" s="122"/>
      <c r="MH10" s="122"/>
      <c r="MI10" s="122"/>
      <c r="MJ10" s="122"/>
      <c r="MK10" s="122"/>
      <c r="ML10" s="122"/>
      <c r="MM10" s="122"/>
      <c r="MN10" s="122"/>
      <c r="MO10" s="122"/>
      <c r="MP10" s="122"/>
      <c r="MQ10" s="122"/>
      <c r="MR10" s="122"/>
      <c r="MS10" s="122"/>
      <c r="MT10" s="122"/>
      <c r="MU10" s="122"/>
      <c r="MV10" s="122"/>
      <c r="MW10" s="122"/>
      <c r="MX10" s="122"/>
      <c r="MY10" s="122"/>
      <c r="MZ10" s="122"/>
      <c r="NA10" s="122"/>
      <c r="NB10" s="122"/>
      <c r="NC10" s="122"/>
      <c r="ND10" s="122"/>
      <c r="NE10" s="122"/>
      <c r="NF10" s="122"/>
      <c r="NG10" s="122"/>
      <c r="NH10" s="122"/>
      <c r="NI10" s="122"/>
      <c r="NJ10" s="122"/>
      <c r="NK10" s="122"/>
      <c r="NL10" s="122"/>
      <c r="NM10" s="122"/>
      <c r="NN10" s="122"/>
      <c r="NO10" s="122"/>
      <c r="NP10" s="122"/>
      <c r="NQ10" s="122"/>
      <c r="NR10" s="122"/>
      <c r="NS10" s="122"/>
      <c r="NT10" s="122"/>
      <c r="NU10" s="122"/>
      <c r="NV10" s="122"/>
      <c r="NW10" s="122"/>
      <c r="NX10" s="122"/>
      <c r="NY10" s="122"/>
      <c r="NZ10" s="122"/>
      <c r="OA10" s="122"/>
      <c r="OB10" s="122"/>
      <c r="OC10" s="122"/>
      <c r="OD10" s="122"/>
      <c r="OE10" s="122"/>
      <c r="OF10" s="122"/>
      <c r="OG10" s="122"/>
      <c r="OH10" s="122"/>
      <c r="OI10" s="122"/>
      <c r="OJ10" s="122"/>
      <c r="OK10" s="122"/>
      <c r="OL10" s="122"/>
      <c r="OM10" s="122"/>
      <c r="ON10" s="122"/>
      <c r="OO10" s="122"/>
      <c r="OP10" s="122"/>
      <c r="OQ10" s="122"/>
      <c r="OR10" s="122"/>
      <c r="OS10" s="122"/>
      <c r="OT10" s="122"/>
      <c r="OU10" s="122"/>
      <c r="OV10" s="122"/>
      <c r="OW10" s="122"/>
      <c r="OX10" s="122"/>
      <c r="OY10" s="122"/>
      <c r="OZ10" s="122"/>
      <c r="PA10" s="122"/>
      <c r="PB10" s="122"/>
      <c r="PC10" s="122"/>
      <c r="PD10" s="122"/>
      <c r="PE10" s="122"/>
      <c r="PF10" s="122"/>
      <c r="PG10" s="122"/>
      <c r="PH10" s="122"/>
      <c r="PI10" s="122"/>
      <c r="PJ10" s="122"/>
      <c r="PK10" s="122"/>
      <c r="PL10" s="122"/>
      <c r="PM10" s="122"/>
      <c r="PN10" s="122"/>
      <c r="PO10" s="122"/>
      <c r="PP10" s="122"/>
      <c r="PQ10" s="122"/>
      <c r="PR10" s="122"/>
      <c r="PS10" s="122"/>
      <c r="PT10" s="122"/>
      <c r="PU10" s="122"/>
      <c r="PV10" s="122"/>
      <c r="PW10" s="122"/>
      <c r="PX10" s="122"/>
      <c r="PY10" s="122"/>
      <c r="PZ10" s="122"/>
      <c r="QA10" s="122"/>
      <c r="QB10" s="122"/>
      <c r="QC10" s="122"/>
      <c r="QD10" s="122"/>
      <c r="QE10" s="122"/>
      <c r="QF10" s="122"/>
      <c r="QG10" s="122"/>
      <c r="QH10" s="122"/>
      <c r="QI10" s="122"/>
      <c r="QJ10" s="122"/>
      <c r="QK10" s="122"/>
      <c r="QL10" s="122"/>
      <c r="QM10" s="122"/>
      <c r="QN10" s="122"/>
      <c r="QO10" s="122"/>
      <c r="QP10" s="122"/>
      <c r="QQ10" s="122"/>
      <c r="QR10" s="122"/>
      <c r="QS10" s="122"/>
      <c r="QT10" s="122"/>
      <c r="QU10" s="122"/>
      <c r="QV10" s="122"/>
      <c r="QW10" s="122"/>
      <c r="QX10" s="122"/>
      <c r="QY10" s="122"/>
      <c r="QZ10" s="122"/>
      <c r="RA10" s="122"/>
      <c r="RB10" s="122"/>
      <c r="RC10" s="122"/>
      <c r="RD10" s="122"/>
      <c r="RE10" s="122"/>
      <c r="RF10" s="122"/>
      <c r="RG10" s="122"/>
      <c r="RH10" s="122"/>
      <c r="RI10" s="122"/>
      <c r="RJ10" s="122"/>
      <c r="RK10" s="122"/>
      <c r="RL10" s="122"/>
      <c r="RM10" s="122"/>
      <c r="RN10" s="122"/>
      <c r="RO10" s="122"/>
      <c r="RP10" s="122"/>
      <c r="RQ10" s="122"/>
      <c r="RR10" s="122"/>
      <c r="RS10" s="122"/>
      <c r="RT10" s="122"/>
      <c r="RU10" s="122"/>
      <c r="RV10" s="122"/>
      <c r="RW10" s="122"/>
      <c r="RX10" s="122"/>
      <c r="RY10" s="122"/>
      <c r="RZ10" s="122"/>
      <c r="SA10" s="122"/>
      <c r="SB10" s="122"/>
      <c r="SC10" s="122"/>
      <c r="SD10" s="122"/>
      <c r="SE10" s="122"/>
      <c r="SF10" s="122"/>
    </row>
    <row r="11" spans="1:500" s="657" customFormat="1" ht="30.25" customHeight="1" x14ac:dyDescent="0.25">
      <c r="A11" s="593" t="s">
        <v>2993</v>
      </c>
      <c r="B11" s="593" t="s">
        <v>3417</v>
      </c>
      <c r="C11" s="594" t="str">
        <f t="shared" si="0"/>
        <v>Audi e-tron business (55 quattro)</v>
      </c>
      <c r="D11" s="593" t="s">
        <v>2741</v>
      </c>
      <c r="E11" s="593">
        <v>300</v>
      </c>
      <c r="F11" s="593" t="s">
        <v>2521</v>
      </c>
      <c r="G11" s="642">
        <v>24.2</v>
      </c>
      <c r="H11" s="593"/>
      <c r="I11" s="593">
        <v>0</v>
      </c>
      <c r="J11" s="595"/>
      <c r="K11" s="595"/>
      <c r="L11" s="595">
        <v>74300</v>
      </c>
      <c r="M11" s="596"/>
      <c r="N11" s="643" t="s">
        <v>2875</v>
      </c>
      <c r="O11" s="656"/>
      <c r="P11" s="601"/>
      <c r="Q11" s="603"/>
      <c r="R11" s="603"/>
      <c r="S11" s="603"/>
      <c r="T11" s="603"/>
      <c r="U11" s="603"/>
      <c r="V11" s="603"/>
      <c r="W11" s="603"/>
      <c r="X11" s="603"/>
      <c r="Y11" s="603"/>
      <c r="Z11" s="603"/>
      <c r="AA11" s="603"/>
      <c r="AB11" s="603"/>
      <c r="AC11" s="603"/>
      <c r="AD11" s="603"/>
      <c r="AE11" s="611"/>
      <c r="AF11" s="611"/>
      <c r="AG11" s="119"/>
      <c r="AH11" s="119"/>
      <c r="AI11" s="119"/>
      <c r="AJ11" s="119"/>
      <c r="AK11" s="119"/>
      <c r="AL11" s="119"/>
      <c r="AM11" s="119"/>
      <c r="AN11" s="119"/>
      <c r="AO11" s="119"/>
      <c r="AP11" s="119"/>
      <c r="AQ11" s="119"/>
      <c r="AR11" s="119"/>
      <c r="AS11" s="119"/>
      <c r="AT11" s="119"/>
      <c r="AU11" s="119"/>
      <c r="AV11" s="119"/>
      <c r="AW11" s="119"/>
      <c r="AX11" s="120"/>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c r="IW11" s="122"/>
      <c r="IX11" s="122"/>
      <c r="IY11" s="122"/>
      <c r="IZ11" s="122"/>
      <c r="JA11" s="122"/>
      <c r="JB11" s="122"/>
      <c r="JC11" s="122"/>
      <c r="JD11" s="122"/>
      <c r="JE11" s="122"/>
      <c r="JF11" s="122"/>
      <c r="JG11" s="122"/>
      <c r="JH11" s="122"/>
      <c r="JI11" s="122"/>
      <c r="JJ11" s="122"/>
      <c r="JK11" s="122"/>
      <c r="JL11" s="122"/>
      <c r="JM11" s="122"/>
      <c r="JN11" s="122"/>
      <c r="JO11" s="122"/>
      <c r="JP11" s="122"/>
      <c r="JQ11" s="122"/>
      <c r="JR11" s="122"/>
      <c r="JS11" s="122"/>
      <c r="JT11" s="122"/>
      <c r="JU11" s="122"/>
      <c r="JV11" s="122"/>
      <c r="JW11" s="122"/>
      <c r="JX11" s="122"/>
      <c r="JY11" s="122"/>
      <c r="JZ11" s="122"/>
      <c r="KA11" s="122"/>
      <c r="KB11" s="122"/>
      <c r="KC11" s="122"/>
      <c r="KD11" s="122"/>
      <c r="KE11" s="122"/>
      <c r="KF11" s="122"/>
      <c r="KG11" s="122"/>
      <c r="KH11" s="122"/>
      <c r="KI11" s="122"/>
      <c r="KJ11" s="122"/>
      <c r="KK11" s="122"/>
      <c r="KL11" s="122"/>
      <c r="KM11" s="122"/>
      <c r="KN11" s="122"/>
      <c r="KO11" s="122"/>
      <c r="KP11" s="122"/>
      <c r="KQ11" s="122"/>
      <c r="KR11" s="122"/>
      <c r="KS11" s="122"/>
      <c r="KT11" s="122"/>
      <c r="KU11" s="122"/>
      <c r="KV11" s="122"/>
      <c r="KW11" s="122"/>
      <c r="KX11" s="122"/>
      <c r="KY11" s="122"/>
      <c r="KZ11" s="122"/>
      <c r="LA11" s="122"/>
      <c r="LB11" s="122"/>
      <c r="LC11" s="122"/>
      <c r="LD11" s="122"/>
      <c r="LE11" s="122"/>
      <c r="LF11" s="122"/>
      <c r="LG11" s="122"/>
      <c r="LH11" s="122"/>
      <c r="LI11" s="122"/>
      <c r="LJ11" s="122"/>
      <c r="LK11" s="122"/>
      <c r="LL11" s="122"/>
      <c r="LM11" s="122"/>
      <c r="LN11" s="122"/>
      <c r="LO11" s="122"/>
      <c r="LP11" s="122"/>
      <c r="LQ11" s="122"/>
      <c r="LR11" s="122"/>
      <c r="LS11" s="122"/>
      <c r="LT11" s="122"/>
      <c r="LU11" s="122"/>
      <c r="LV11" s="122"/>
      <c r="LW11" s="122"/>
      <c r="LX11" s="122"/>
      <c r="LY11" s="122"/>
      <c r="LZ11" s="122"/>
      <c r="MA11" s="122"/>
      <c r="MB11" s="122"/>
      <c r="MC11" s="122"/>
      <c r="MD11" s="122"/>
      <c r="ME11" s="122"/>
      <c r="MF11" s="122"/>
      <c r="MG11" s="122"/>
      <c r="MH11" s="122"/>
      <c r="MI11" s="122"/>
      <c r="MJ11" s="122"/>
      <c r="MK11" s="122"/>
      <c r="ML11" s="122"/>
      <c r="MM11" s="122"/>
      <c r="MN11" s="122"/>
      <c r="MO11" s="122"/>
      <c r="MP11" s="122"/>
      <c r="MQ11" s="122"/>
      <c r="MR11" s="122"/>
      <c r="MS11" s="122"/>
      <c r="MT11" s="122"/>
      <c r="MU11" s="122"/>
      <c r="MV11" s="122"/>
      <c r="MW11" s="122"/>
      <c r="MX11" s="122"/>
      <c r="MY11" s="122"/>
      <c r="MZ11" s="122"/>
      <c r="NA11" s="122"/>
      <c r="NB11" s="122"/>
      <c r="NC11" s="122"/>
      <c r="ND11" s="122"/>
      <c r="NE11" s="122"/>
      <c r="NF11" s="122"/>
      <c r="NG11" s="122"/>
      <c r="NH11" s="122"/>
      <c r="NI11" s="122"/>
      <c r="NJ11" s="122"/>
      <c r="NK11" s="122"/>
      <c r="NL11" s="122"/>
      <c r="NM11" s="122"/>
      <c r="NN11" s="122"/>
      <c r="NO11" s="122"/>
      <c r="NP11" s="122"/>
      <c r="NQ11" s="122"/>
      <c r="NR11" s="122"/>
      <c r="NS11" s="122"/>
      <c r="NT11" s="122"/>
      <c r="NU11" s="122"/>
      <c r="NV11" s="122"/>
      <c r="NW11" s="122"/>
      <c r="NX11" s="122"/>
      <c r="NY11" s="122"/>
      <c r="NZ11" s="122"/>
      <c r="OA11" s="122"/>
      <c r="OB11" s="122"/>
      <c r="OC11" s="122"/>
      <c r="OD11" s="122"/>
      <c r="OE11" s="122"/>
      <c r="OF11" s="122"/>
      <c r="OG11" s="122"/>
      <c r="OH11" s="122"/>
      <c r="OI11" s="122"/>
      <c r="OJ11" s="122"/>
      <c r="OK11" s="122"/>
      <c r="OL11" s="122"/>
      <c r="OM11" s="122"/>
      <c r="ON11" s="122"/>
      <c r="OO11" s="122"/>
      <c r="OP11" s="122"/>
      <c r="OQ11" s="122"/>
      <c r="OR11" s="122"/>
      <c r="OS11" s="122"/>
      <c r="OT11" s="122"/>
      <c r="OU11" s="122"/>
      <c r="OV11" s="122"/>
      <c r="OW11" s="122"/>
      <c r="OX11" s="122"/>
      <c r="OY11" s="122"/>
      <c r="OZ11" s="122"/>
      <c r="PA11" s="122"/>
      <c r="PB11" s="122"/>
      <c r="PC11" s="122"/>
      <c r="PD11" s="122"/>
      <c r="PE11" s="122"/>
      <c r="PF11" s="122"/>
      <c r="PG11" s="122"/>
      <c r="PH11" s="122"/>
      <c r="PI11" s="122"/>
      <c r="PJ11" s="122"/>
      <c r="PK11" s="122"/>
      <c r="PL11" s="122"/>
      <c r="PM11" s="122"/>
      <c r="PN11" s="122"/>
      <c r="PO11" s="122"/>
      <c r="PP11" s="122"/>
      <c r="PQ11" s="122"/>
      <c r="PR11" s="122"/>
      <c r="PS11" s="122"/>
      <c r="PT11" s="122"/>
      <c r="PU11" s="122"/>
      <c r="PV11" s="122"/>
      <c r="PW11" s="122"/>
      <c r="PX11" s="122"/>
      <c r="PY11" s="122"/>
      <c r="PZ11" s="122"/>
      <c r="QA11" s="122"/>
      <c r="QB11" s="122"/>
      <c r="QC11" s="122"/>
      <c r="QD11" s="122"/>
      <c r="QE11" s="122"/>
      <c r="QF11" s="122"/>
      <c r="QG11" s="122"/>
      <c r="QH11" s="122"/>
      <c r="QI11" s="122"/>
      <c r="QJ11" s="122"/>
      <c r="QK11" s="122"/>
      <c r="QL11" s="122"/>
      <c r="QM11" s="122"/>
      <c r="QN11" s="122"/>
      <c r="QO11" s="122"/>
      <c r="QP11" s="122"/>
      <c r="QQ11" s="122"/>
      <c r="QR11" s="122"/>
      <c r="QS11" s="122"/>
      <c r="QT11" s="122"/>
      <c r="QU11" s="122"/>
      <c r="QV11" s="122"/>
      <c r="QW11" s="122"/>
      <c r="QX11" s="122"/>
      <c r="QY11" s="122"/>
      <c r="QZ11" s="122"/>
      <c r="RA11" s="122"/>
      <c r="RB11" s="122"/>
      <c r="RC11" s="122"/>
      <c r="RD11" s="122"/>
      <c r="RE11" s="122"/>
      <c r="RF11" s="122"/>
      <c r="RG11" s="122"/>
      <c r="RH11" s="122"/>
      <c r="RI11" s="122"/>
      <c r="RJ11" s="122"/>
      <c r="RK11" s="122"/>
      <c r="RL11" s="122"/>
      <c r="RM11" s="122"/>
      <c r="RN11" s="122"/>
      <c r="RO11" s="122"/>
      <c r="RP11" s="122"/>
      <c r="RQ11" s="122"/>
      <c r="RR11" s="122"/>
      <c r="RS11" s="122"/>
      <c r="RT11" s="122"/>
      <c r="RU11" s="122"/>
      <c r="RV11" s="122"/>
      <c r="RW11" s="122"/>
      <c r="RX11" s="122"/>
      <c r="RY11" s="122"/>
      <c r="RZ11" s="122"/>
      <c r="SA11" s="122"/>
      <c r="SB11" s="122"/>
      <c r="SC11" s="122"/>
      <c r="SD11" s="122"/>
      <c r="SE11" s="122"/>
      <c r="SF11" s="122"/>
    </row>
    <row r="12" spans="1:500" s="657" customFormat="1" ht="30.25" customHeight="1" x14ac:dyDescent="0.25">
      <c r="A12" s="593" t="s">
        <v>2993</v>
      </c>
      <c r="B12" s="593" t="s">
        <v>3418</v>
      </c>
      <c r="C12" s="594" t="str">
        <f t="shared" si="0"/>
        <v>Audi e-tron S line (50 quattro)</v>
      </c>
      <c r="D12" s="593" t="s">
        <v>2741</v>
      </c>
      <c r="E12" s="593">
        <v>230</v>
      </c>
      <c r="F12" s="593" t="s">
        <v>2521</v>
      </c>
      <c r="G12" s="642">
        <v>23.6</v>
      </c>
      <c r="H12" s="593"/>
      <c r="I12" s="593">
        <v>0</v>
      </c>
      <c r="J12" s="595"/>
      <c r="K12" s="595"/>
      <c r="L12" s="595">
        <v>72050</v>
      </c>
      <c r="M12" s="596"/>
      <c r="N12" s="643" t="s">
        <v>2875</v>
      </c>
      <c r="O12" s="656"/>
      <c r="P12" s="601"/>
      <c r="Q12" s="603"/>
      <c r="R12" s="603"/>
      <c r="S12" s="603"/>
      <c r="T12" s="603"/>
      <c r="U12" s="603"/>
      <c r="V12" s="603"/>
      <c r="W12" s="603"/>
      <c r="X12" s="603"/>
      <c r="Y12" s="603"/>
      <c r="Z12" s="603"/>
      <c r="AA12" s="603"/>
      <c r="AB12" s="603"/>
      <c r="AC12" s="603"/>
      <c r="AD12" s="603"/>
      <c r="AE12" s="611"/>
      <c r="AF12" s="611"/>
      <c r="AG12" s="119"/>
      <c r="AH12" s="119"/>
      <c r="AI12" s="119"/>
      <c r="AJ12" s="119"/>
      <c r="AK12" s="119"/>
      <c r="AL12" s="119"/>
      <c r="AM12" s="119"/>
      <c r="AN12" s="119"/>
      <c r="AO12" s="119"/>
      <c r="AP12" s="119"/>
      <c r="AQ12" s="119"/>
      <c r="AR12" s="119"/>
      <c r="AS12" s="119"/>
      <c r="AT12" s="119"/>
      <c r="AU12" s="119"/>
      <c r="AV12" s="119"/>
      <c r="AW12" s="119"/>
      <c r="AX12" s="120"/>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c r="IW12" s="122"/>
      <c r="IX12" s="122"/>
      <c r="IY12" s="122"/>
      <c r="IZ12" s="122"/>
      <c r="JA12" s="122"/>
      <c r="JB12" s="122"/>
      <c r="JC12" s="122"/>
      <c r="JD12" s="122"/>
      <c r="JE12" s="122"/>
      <c r="JF12" s="122"/>
      <c r="JG12" s="122"/>
      <c r="JH12" s="122"/>
      <c r="JI12" s="122"/>
      <c r="JJ12" s="122"/>
      <c r="JK12" s="122"/>
      <c r="JL12" s="122"/>
      <c r="JM12" s="122"/>
      <c r="JN12" s="122"/>
      <c r="JO12" s="122"/>
      <c r="JP12" s="122"/>
      <c r="JQ12" s="122"/>
      <c r="JR12" s="122"/>
      <c r="JS12" s="122"/>
      <c r="JT12" s="122"/>
      <c r="JU12" s="122"/>
      <c r="JV12" s="122"/>
      <c r="JW12" s="122"/>
      <c r="JX12" s="122"/>
      <c r="JY12" s="122"/>
      <c r="JZ12" s="122"/>
      <c r="KA12" s="122"/>
      <c r="KB12" s="122"/>
      <c r="KC12" s="122"/>
      <c r="KD12" s="122"/>
      <c r="KE12" s="122"/>
      <c r="KF12" s="122"/>
      <c r="KG12" s="122"/>
      <c r="KH12" s="122"/>
      <c r="KI12" s="122"/>
      <c r="KJ12" s="122"/>
      <c r="KK12" s="122"/>
      <c r="KL12" s="122"/>
      <c r="KM12" s="122"/>
      <c r="KN12" s="122"/>
      <c r="KO12" s="122"/>
      <c r="KP12" s="122"/>
      <c r="KQ12" s="122"/>
      <c r="KR12" s="122"/>
      <c r="KS12" s="122"/>
      <c r="KT12" s="122"/>
      <c r="KU12" s="122"/>
      <c r="KV12" s="122"/>
      <c r="KW12" s="122"/>
      <c r="KX12" s="122"/>
      <c r="KY12" s="122"/>
      <c r="KZ12" s="122"/>
      <c r="LA12" s="122"/>
      <c r="LB12" s="122"/>
      <c r="LC12" s="122"/>
      <c r="LD12" s="122"/>
      <c r="LE12" s="122"/>
      <c r="LF12" s="122"/>
      <c r="LG12" s="122"/>
      <c r="LH12" s="122"/>
      <c r="LI12" s="122"/>
      <c r="LJ12" s="122"/>
      <c r="LK12" s="122"/>
      <c r="LL12" s="122"/>
      <c r="LM12" s="122"/>
      <c r="LN12" s="122"/>
      <c r="LO12" s="122"/>
      <c r="LP12" s="122"/>
      <c r="LQ12" s="122"/>
      <c r="LR12" s="122"/>
      <c r="LS12" s="122"/>
      <c r="LT12" s="122"/>
      <c r="LU12" s="122"/>
      <c r="LV12" s="122"/>
      <c r="LW12" s="122"/>
      <c r="LX12" s="122"/>
      <c r="LY12" s="122"/>
      <c r="LZ12" s="122"/>
      <c r="MA12" s="122"/>
      <c r="MB12" s="122"/>
      <c r="MC12" s="122"/>
      <c r="MD12" s="122"/>
      <c r="ME12" s="122"/>
      <c r="MF12" s="122"/>
      <c r="MG12" s="122"/>
      <c r="MH12" s="122"/>
      <c r="MI12" s="122"/>
      <c r="MJ12" s="122"/>
      <c r="MK12" s="122"/>
      <c r="ML12" s="122"/>
      <c r="MM12" s="122"/>
      <c r="MN12" s="122"/>
      <c r="MO12" s="122"/>
      <c r="MP12" s="122"/>
      <c r="MQ12" s="122"/>
      <c r="MR12" s="122"/>
      <c r="MS12" s="122"/>
      <c r="MT12" s="122"/>
      <c r="MU12" s="122"/>
      <c r="MV12" s="122"/>
      <c r="MW12" s="122"/>
      <c r="MX12" s="122"/>
      <c r="MY12" s="122"/>
      <c r="MZ12" s="122"/>
      <c r="NA12" s="122"/>
      <c r="NB12" s="122"/>
      <c r="NC12" s="122"/>
      <c r="ND12" s="122"/>
      <c r="NE12" s="122"/>
      <c r="NF12" s="122"/>
      <c r="NG12" s="122"/>
      <c r="NH12" s="122"/>
      <c r="NI12" s="122"/>
      <c r="NJ12" s="122"/>
      <c r="NK12" s="122"/>
      <c r="NL12" s="122"/>
      <c r="NM12" s="122"/>
      <c r="NN12" s="122"/>
      <c r="NO12" s="122"/>
      <c r="NP12" s="122"/>
      <c r="NQ12" s="122"/>
      <c r="NR12" s="122"/>
      <c r="NS12" s="122"/>
      <c r="NT12" s="122"/>
      <c r="NU12" s="122"/>
      <c r="NV12" s="122"/>
      <c r="NW12" s="122"/>
      <c r="NX12" s="122"/>
      <c r="NY12" s="122"/>
      <c r="NZ12" s="122"/>
      <c r="OA12" s="122"/>
      <c r="OB12" s="122"/>
      <c r="OC12" s="122"/>
      <c r="OD12" s="122"/>
      <c r="OE12" s="122"/>
      <c r="OF12" s="122"/>
      <c r="OG12" s="122"/>
      <c r="OH12" s="122"/>
      <c r="OI12" s="122"/>
      <c r="OJ12" s="122"/>
      <c r="OK12" s="122"/>
      <c r="OL12" s="122"/>
      <c r="OM12" s="122"/>
      <c r="ON12" s="122"/>
      <c r="OO12" s="122"/>
      <c r="OP12" s="122"/>
      <c r="OQ12" s="122"/>
      <c r="OR12" s="122"/>
      <c r="OS12" s="122"/>
      <c r="OT12" s="122"/>
      <c r="OU12" s="122"/>
      <c r="OV12" s="122"/>
      <c r="OW12" s="122"/>
      <c r="OX12" s="122"/>
      <c r="OY12" s="122"/>
      <c r="OZ12" s="122"/>
      <c r="PA12" s="122"/>
      <c r="PB12" s="122"/>
      <c r="PC12" s="122"/>
      <c r="PD12" s="122"/>
      <c r="PE12" s="122"/>
      <c r="PF12" s="122"/>
      <c r="PG12" s="122"/>
      <c r="PH12" s="122"/>
      <c r="PI12" s="122"/>
      <c r="PJ12" s="122"/>
      <c r="PK12" s="122"/>
      <c r="PL12" s="122"/>
      <c r="PM12" s="122"/>
      <c r="PN12" s="122"/>
      <c r="PO12" s="122"/>
      <c r="PP12" s="122"/>
      <c r="PQ12" s="122"/>
      <c r="PR12" s="122"/>
      <c r="PS12" s="122"/>
      <c r="PT12" s="122"/>
      <c r="PU12" s="122"/>
      <c r="PV12" s="122"/>
      <c r="PW12" s="122"/>
      <c r="PX12" s="122"/>
      <c r="PY12" s="122"/>
      <c r="PZ12" s="122"/>
      <c r="QA12" s="122"/>
      <c r="QB12" s="122"/>
      <c r="QC12" s="122"/>
      <c r="QD12" s="122"/>
      <c r="QE12" s="122"/>
      <c r="QF12" s="122"/>
      <c r="QG12" s="122"/>
      <c r="QH12" s="122"/>
      <c r="QI12" s="122"/>
      <c r="QJ12" s="122"/>
      <c r="QK12" s="122"/>
      <c r="QL12" s="122"/>
      <c r="QM12" s="122"/>
      <c r="QN12" s="122"/>
      <c r="QO12" s="122"/>
      <c r="QP12" s="122"/>
      <c r="QQ12" s="122"/>
      <c r="QR12" s="122"/>
      <c r="QS12" s="122"/>
      <c r="QT12" s="122"/>
      <c r="QU12" s="122"/>
      <c r="QV12" s="122"/>
      <c r="QW12" s="122"/>
      <c r="QX12" s="122"/>
      <c r="QY12" s="122"/>
      <c r="QZ12" s="122"/>
      <c r="RA12" s="122"/>
      <c r="RB12" s="122"/>
      <c r="RC12" s="122"/>
      <c r="RD12" s="122"/>
      <c r="RE12" s="122"/>
      <c r="RF12" s="122"/>
      <c r="RG12" s="122"/>
      <c r="RH12" s="122"/>
      <c r="RI12" s="122"/>
      <c r="RJ12" s="122"/>
      <c r="RK12" s="122"/>
      <c r="RL12" s="122"/>
      <c r="RM12" s="122"/>
      <c r="RN12" s="122"/>
      <c r="RO12" s="122"/>
      <c r="RP12" s="122"/>
      <c r="RQ12" s="122"/>
      <c r="RR12" s="122"/>
      <c r="RS12" s="122"/>
      <c r="RT12" s="122"/>
      <c r="RU12" s="122"/>
      <c r="RV12" s="122"/>
      <c r="RW12" s="122"/>
      <c r="RX12" s="122"/>
      <c r="RY12" s="122"/>
      <c r="RZ12" s="122"/>
      <c r="SA12" s="122"/>
      <c r="SB12" s="122"/>
      <c r="SC12" s="122"/>
      <c r="SD12" s="122"/>
      <c r="SE12" s="122"/>
      <c r="SF12" s="122"/>
    </row>
    <row r="13" spans="1:500" s="657" customFormat="1" ht="30.25" customHeight="1" x14ac:dyDescent="0.25">
      <c r="A13" s="593" t="s">
        <v>2993</v>
      </c>
      <c r="B13" s="593" t="s">
        <v>3420</v>
      </c>
      <c r="C13" s="594" t="str">
        <f t="shared" si="0"/>
        <v>Audi e-tron S line (55 quattro)</v>
      </c>
      <c r="D13" s="593" t="s">
        <v>2741</v>
      </c>
      <c r="E13" s="593">
        <v>300</v>
      </c>
      <c r="F13" s="593" t="s">
        <v>2521</v>
      </c>
      <c r="G13" s="642">
        <v>24.2</v>
      </c>
      <c r="H13" s="593"/>
      <c r="I13" s="593">
        <v>0</v>
      </c>
      <c r="J13" s="595"/>
      <c r="K13" s="595"/>
      <c r="L13" s="595">
        <v>84450</v>
      </c>
      <c r="M13" s="596"/>
      <c r="N13" s="643" t="s">
        <v>2875</v>
      </c>
      <c r="O13" s="656"/>
      <c r="P13" s="601"/>
      <c r="Q13" s="603"/>
      <c r="R13" s="603"/>
      <c r="S13" s="603"/>
      <c r="T13" s="603"/>
      <c r="U13" s="603"/>
      <c r="V13" s="603"/>
      <c r="W13" s="603"/>
      <c r="X13" s="603"/>
      <c r="Y13" s="603"/>
      <c r="Z13" s="603"/>
      <c r="AA13" s="603"/>
      <c r="AB13" s="603"/>
      <c r="AC13" s="603"/>
      <c r="AD13" s="603"/>
      <c r="AE13" s="611"/>
      <c r="AF13" s="611"/>
      <c r="AG13" s="119"/>
      <c r="AH13" s="119"/>
      <c r="AI13" s="119"/>
      <c r="AJ13" s="119"/>
      <c r="AK13" s="119"/>
      <c r="AL13" s="119"/>
      <c r="AM13" s="119"/>
      <c r="AN13" s="119"/>
      <c r="AO13" s="119"/>
      <c r="AP13" s="119"/>
      <c r="AQ13" s="119"/>
      <c r="AR13" s="119"/>
      <c r="AS13" s="119"/>
      <c r="AT13" s="119"/>
      <c r="AU13" s="119"/>
      <c r="AV13" s="119"/>
      <c r="AW13" s="119"/>
      <c r="AX13" s="120"/>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row>
    <row r="14" spans="1:500" s="657" customFormat="1" ht="30.25" customHeight="1" x14ac:dyDescent="0.25">
      <c r="A14" s="593" t="s">
        <v>2993</v>
      </c>
      <c r="B14" s="593" t="s">
        <v>3419</v>
      </c>
      <c r="C14" s="594" t="str">
        <f t="shared" si="0"/>
        <v xml:space="preserve">Audi e-tron S </v>
      </c>
      <c r="D14" s="593" t="s">
        <v>2741</v>
      </c>
      <c r="E14" s="593">
        <v>370</v>
      </c>
      <c r="F14" s="593" t="s">
        <v>2521</v>
      </c>
      <c r="G14" s="642">
        <v>27.3</v>
      </c>
      <c r="H14" s="593"/>
      <c r="I14" s="593">
        <v>0</v>
      </c>
      <c r="J14" s="595"/>
      <c r="K14" s="595"/>
      <c r="L14" s="595">
        <v>93800</v>
      </c>
      <c r="M14" s="596"/>
      <c r="N14" s="643" t="s">
        <v>2875</v>
      </c>
      <c r="O14" s="656"/>
      <c r="P14" s="601"/>
      <c r="Q14" s="603"/>
      <c r="R14" s="603"/>
      <c r="S14" s="603"/>
      <c r="T14" s="603"/>
      <c r="U14" s="603"/>
      <c r="V14" s="603"/>
      <c r="W14" s="603"/>
      <c r="X14" s="603"/>
      <c r="Y14" s="603"/>
      <c r="Z14" s="603"/>
      <c r="AA14" s="603"/>
      <c r="AB14" s="603"/>
      <c r="AC14" s="603"/>
      <c r="AD14" s="603"/>
      <c r="AE14" s="611"/>
      <c r="AF14" s="611"/>
      <c r="AG14" s="119"/>
      <c r="AH14" s="119"/>
      <c r="AI14" s="119"/>
      <c r="AJ14" s="119"/>
      <c r="AK14" s="119"/>
      <c r="AL14" s="119"/>
      <c r="AM14" s="119"/>
      <c r="AN14" s="119"/>
      <c r="AO14" s="119"/>
      <c r="AP14" s="119"/>
      <c r="AQ14" s="119"/>
      <c r="AR14" s="119"/>
      <c r="AS14" s="119"/>
      <c r="AT14" s="119"/>
      <c r="AU14" s="119"/>
      <c r="AV14" s="119"/>
      <c r="AW14" s="119"/>
      <c r="AX14" s="120"/>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c r="DM14" s="122"/>
      <c r="DN14" s="122"/>
      <c r="DO14" s="122"/>
      <c r="DP14" s="122"/>
      <c r="DQ14" s="122"/>
      <c r="DR14" s="122"/>
      <c r="DS14" s="122"/>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122"/>
      <c r="EY14" s="122"/>
      <c r="EZ14" s="122"/>
      <c r="FA14" s="122"/>
      <c r="FB14" s="122"/>
      <c r="FC14" s="122"/>
      <c r="FD14" s="122"/>
      <c r="FE14" s="122"/>
      <c r="FF14" s="122"/>
      <c r="FG14" s="122"/>
      <c r="FH14" s="122"/>
      <c r="FI14" s="122"/>
      <c r="FJ14" s="122"/>
      <c r="FK14" s="122"/>
      <c r="FL14" s="122"/>
      <c r="FM14" s="122"/>
      <c r="FN14" s="122"/>
      <c r="FO14" s="122"/>
      <c r="FP14" s="122"/>
      <c r="FQ14" s="122"/>
      <c r="FR14" s="122"/>
      <c r="FS14" s="122"/>
      <c r="FT14" s="122"/>
      <c r="FU14" s="122"/>
      <c r="FV14" s="122"/>
      <c r="FW14" s="122"/>
      <c r="FX14" s="122"/>
      <c r="FY14" s="122"/>
      <c r="FZ14" s="122"/>
      <c r="GA14" s="122"/>
      <c r="GB14" s="122"/>
      <c r="GC14" s="122"/>
      <c r="GD14" s="122"/>
      <c r="GE14" s="122"/>
      <c r="GF14" s="122"/>
      <c r="GG14" s="122"/>
      <c r="GH14" s="122"/>
      <c r="GI14" s="122"/>
      <c r="GJ14" s="122"/>
      <c r="GK14" s="122"/>
      <c r="GL14" s="122"/>
      <c r="GM14" s="122"/>
      <c r="GN14" s="122"/>
      <c r="GO14" s="122"/>
      <c r="GP14" s="122"/>
      <c r="GQ14" s="122"/>
      <c r="GR14" s="122"/>
      <c r="GS14" s="122"/>
      <c r="GT14" s="122"/>
      <c r="GU14" s="122"/>
      <c r="GV14" s="122"/>
      <c r="GW14" s="122"/>
      <c r="GX14" s="122"/>
      <c r="GY14" s="122"/>
      <c r="GZ14" s="122"/>
      <c r="HA14" s="122"/>
      <c r="HB14" s="122"/>
      <c r="HC14" s="122"/>
      <c r="HD14" s="122"/>
      <c r="HE14" s="122"/>
      <c r="HF14" s="122"/>
      <c r="HG14" s="122"/>
      <c r="HH14" s="122"/>
      <c r="HI14" s="122"/>
      <c r="HJ14" s="122"/>
      <c r="HK14" s="122"/>
      <c r="HL14" s="122"/>
      <c r="HM14" s="122"/>
      <c r="HN14" s="122"/>
      <c r="HO14" s="122"/>
      <c r="HP14" s="122"/>
      <c r="HQ14" s="122"/>
      <c r="HR14" s="122"/>
      <c r="HS14" s="122"/>
      <c r="HT14" s="122"/>
      <c r="HU14" s="122"/>
      <c r="HV14" s="122"/>
      <c r="HW14" s="122"/>
      <c r="HX14" s="122"/>
      <c r="HY14" s="122"/>
      <c r="HZ14" s="122"/>
      <c r="IA14" s="122"/>
      <c r="IB14" s="122"/>
      <c r="IC14" s="122"/>
      <c r="ID14" s="122"/>
      <c r="IE14" s="122"/>
      <c r="IF14" s="122"/>
      <c r="IG14" s="122"/>
      <c r="IH14" s="122"/>
      <c r="II14" s="122"/>
      <c r="IJ14" s="122"/>
      <c r="IK14" s="122"/>
      <c r="IL14" s="122"/>
      <c r="IM14" s="122"/>
      <c r="IN14" s="122"/>
      <c r="IO14" s="122"/>
      <c r="IP14" s="122"/>
      <c r="IQ14" s="122"/>
      <c r="IR14" s="122"/>
      <c r="IS14" s="122"/>
      <c r="IT14" s="122"/>
      <c r="IU14" s="122"/>
      <c r="IV14" s="122"/>
      <c r="IW14" s="122"/>
      <c r="IX14" s="122"/>
      <c r="IY14" s="122"/>
      <c r="IZ14" s="122"/>
      <c r="JA14" s="122"/>
      <c r="JB14" s="122"/>
      <c r="JC14" s="122"/>
      <c r="JD14" s="122"/>
      <c r="JE14" s="122"/>
      <c r="JF14" s="122"/>
      <c r="JG14" s="122"/>
      <c r="JH14" s="122"/>
      <c r="JI14" s="122"/>
      <c r="JJ14" s="122"/>
      <c r="JK14" s="122"/>
      <c r="JL14" s="122"/>
      <c r="JM14" s="122"/>
      <c r="JN14" s="122"/>
      <c r="JO14" s="122"/>
      <c r="JP14" s="122"/>
      <c r="JQ14" s="122"/>
      <c r="JR14" s="122"/>
      <c r="JS14" s="122"/>
      <c r="JT14" s="122"/>
      <c r="JU14" s="122"/>
      <c r="JV14" s="122"/>
      <c r="JW14" s="122"/>
      <c r="JX14" s="122"/>
      <c r="JY14" s="122"/>
      <c r="JZ14" s="122"/>
      <c r="KA14" s="122"/>
      <c r="KB14" s="122"/>
      <c r="KC14" s="122"/>
      <c r="KD14" s="122"/>
      <c r="KE14" s="122"/>
      <c r="KF14" s="122"/>
      <c r="KG14" s="122"/>
      <c r="KH14" s="122"/>
      <c r="KI14" s="122"/>
      <c r="KJ14" s="122"/>
      <c r="KK14" s="122"/>
      <c r="KL14" s="122"/>
      <c r="KM14" s="122"/>
      <c r="KN14" s="122"/>
      <c r="KO14" s="122"/>
      <c r="KP14" s="122"/>
      <c r="KQ14" s="122"/>
      <c r="KR14" s="122"/>
      <c r="KS14" s="122"/>
      <c r="KT14" s="122"/>
      <c r="KU14" s="122"/>
      <c r="KV14" s="122"/>
      <c r="KW14" s="122"/>
      <c r="KX14" s="122"/>
      <c r="KY14" s="122"/>
      <c r="KZ14" s="122"/>
      <c r="LA14" s="122"/>
      <c r="LB14" s="122"/>
      <c r="LC14" s="122"/>
      <c r="LD14" s="122"/>
      <c r="LE14" s="122"/>
      <c r="LF14" s="122"/>
      <c r="LG14" s="122"/>
      <c r="LH14" s="122"/>
      <c r="LI14" s="122"/>
      <c r="LJ14" s="122"/>
      <c r="LK14" s="122"/>
      <c r="LL14" s="122"/>
      <c r="LM14" s="122"/>
      <c r="LN14" s="122"/>
      <c r="LO14" s="122"/>
      <c r="LP14" s="122"/>
      <c r="LQ14" s="122"/>
      <c r="LR14" s="122"/>
      <c r="LS14" s="122"/>
      <c r="LT14" s="122"/>
      <c r="LU14" s="122"/>
      <c r="LV14" s="122"/>
      <c r="LW14" s="122"/>
      <c r="LX14" s="122"/>
      <c r="LY14" s="122"/>
      <c r="LZ14" s="122"/>
      <c r="MA14" s="122"/>
      <c r="MB14" s="122"/>
      <c r="MC14" s="122"/>
      <c r="MD14" s="122"/>
      <c r="ME14" s="122"/>
      <c r="MF14" s="122"/>
      <c r="MG14" s="122"/>
      <c r="MH14" s="122"/>
      <c r="MI14" s="122"/>
      <c r="MJ14" s="122"/>
      <c r="MK14" s="122"/>
      <c r="ML14" s="122"/>
      <c r="MM14" s="122"/>
      <c r="MN14" s="122"/>
      <c r="MO14" s="122"/>
      <c r="MP14" s="122"/>
      <c r="MQ14" s="122"/>
      <c r="MR14" s="122"/>
      <c r="MS14" s="122"/>
      <c r="MT14" s="122"/>
      <c r="MU14" s="122"/>
      <c r="MV14" s="122"/>
      <c r="MW14" s="122"/>
      <c r="MX14" s="122"/>
      <c r="MY14" s="122"/>
      <c r="MZ14" s="122"/>
      <c r="NA14" s="122"/>
      <c r="NB14" s="122"/>
      <c r="NC14" s="122"/>
      <c r="ND14" s="122"/>
      <c r="NE14" s="122"/>
      <c r="NF14" s="122"/>
      <c r="NG14" s="122"/>
      <c r="NH14" s="122"/>
      <c r="NI14" s="122"/>
      <c r="NJ14" s="122"/>
      <c r="NK14" s="122"/>
      <c r="NL14" s="122"/>
      <c r="NM14" s="122"/>
      <c r="NN14" s="122"/>
      <c r="NO14" s="122"/>
      <c r="NP14" s="122"/>
      <c r="NQ14" s="122"/>
      <c r="NR14" s="122"/>
      <c r="NS14" s="122"/>
      <c r="NT14" s="122"/>
      <c r="NU14" s="122"/>
      <c r="NV14" s="122"/>
      <c r="NW14" s="122"/>
      <c r="NX14" s="122"/>
      <c r="NY14" s="122"/>
      <c r="NZ14" s="122"/>
      <c r="OA14" s="122"/>
      <c r="OB14" s="122"/>
      <c r="OC14" s="122"/>
      <c r="OD14" s="122"/>
      <c r="OE14" s="122"/>
      <c r="OF14" s="122"/>
      <c r="OG14" s="122"/>
      <c r="OH14" s="122"/>
      <c r="OI14" s="122"/>
      <c r="OJ14" s="122"/>
      <c r="OK14" s="122"/>
      <c r="OL14" s="122"/>
      <c r="OM14" s="122"/>
      <c r="ON14" s="122"/>
      <c r="OO14" s="122"/>
      <c r="OP14" s="122"/>
      <c r="OQ14" s="122"/>
      <c r="OR14" s="122"/>
      <c r="OS14" s="122"/>
      <c r="OT14" s="122"/>
      <c r="OU14" s="122"/>
      <c r="OV14" s="122"/>
      <c r="OW14" s="122"/>
      <c r="OX14" s="122"/>
      <c r="OY14" s="122"/>
      <c r="OZ14" s="122"/>
      <c r="PA14" s="122"/>
      <c r="PB14" s="122"/>
      <c r="PC14" s="122"/>
      <c r="PD14" s="122"/>
      <c r="PE14" s="122"/>
      <c r="PF14" s="122"/>
      <c r="PG14" s="122"/>
      <c r="PH14" s="122"/>
      <c r="PI14" s="122"/>
      <c r="PJ14" s="122"/>
      <c r="PK14" s="122"/>
      <c r="PL14" s="122"/>
      <c r="PM14" s="122"/>
      <c r="PN14" s="122"/>
      <c r="PO14" s="122"/>
      <c r="PP14" s="122"/>
      <c r="PQ14" s="122"/>
      <c r="PR14" s="122"/>
      <c r="PS14" s="122"/>
      <c r="PT14" s="122"/>
      <c r="PU14" s="122"/>
      <c r="PV14" s="122"/>
      <c r="PW14" s="122"/>
      <c r="PX14" s="122"/>
      <c r="PY14" s="122"/>
      <c r="PZ14" s="122"/>
      <c r="QA14" s="122"/>
      <c r="QB14" s="122"/>
      <c r="QC14" s="122"/>
      <c r="QD14" s="122"/>
      <c r="QE14" s="122"/>
      <c r="QF14" s="122"/>
      <c r="QG14" s="122"/>
      <c r="QH14" s="122"/>
      <c r="QI14" s="122"/>
      <c r="QJ14" s="122"/>
      <c r="QK14" s="122"/>
      <c r="QL14" s="122"/>
      <c r="QM14" s="122"/>
      <c r="QN14" s="122"/>
      <c r="QO14" s="122"/>
      <c r="QP14" s="122"/>
      <c r="QQ14" s="122"/>
      <c r="QR14" s="122"/>
      <c r="QS14" s="122"/>
      <c r="QT14" s="122"/>
      <c r="QU14" s="122"/>
      <c r="QV14" s="122"/>
      <c r="QW14" s="122"/>
      <c r="QX14" s="122"/>
      <c r="QY14" s="122"/>
      <c r="QZ14" s="122"/>
      <c r="RA14" s="122"/>
      <c r="RB14" s="122"/>
      <c r="RC14" s="122"/>
      <c r="RD14" s="122"/>
      <c r="RE14" s="122"/>
      <c r="RF14" s="122"/>
      <c r="RG14" s="122"/>
      <c r="RH14" s="122"/>
      <c r="RI14" s="122"/>
      <c r="RJ14" s="122"/>
      <c r="RK14" s="122"/>
      <c r="RL14" s="122"/>
      <c r="RM14" s="122"/>
      <c r="RN14" s="122"/>
      <c r="RO14" s="122"/>
      <c r="RP14" s="122"/>
      <c r="RQ14" s="122"/>
      <c r="RR14" s="122"/>
      <c r="RS14" s="122"/>
      <c r="RT14" s="122"/>
      <c r="RU14" s="122"/>
      <c r="RV14" s="122"/>
      <c r="RW14" s="122"/>
      <c r="RX14" s="122"/>
      <c r="RY14" s="122"/>
      <c r="RZ14" s="122"/>
      <c r="SA14" s="122"/>
      <c r="SB14" s="122"/>
      <c r="SC14" s="122"/>
      <c r="SD14" s="122"/>
      <c r="SE14" s="122"/>
      <c r="SF14" s="122"/>
    </row>
    <row r="15" spans="1:500" s="657" customFormat="1" ht="30.25" customHeight="1" x14ac:dyDescent="0.25">
      <c r="A15" s="593" t="s">
        <v>2993</v>
      </c>
      <c r="B15" s="593" t="s">
        <v>3421</v>
      </c>
      <c r="C15" s="594" t="str">
        <f t="shared" si="0"/>
        <v>Audi e-tron Sportback (50 quattro)</v>
      </c>
      <c r="D15" s="593" t="s">
        <v>2741</v>
      </c>
      <c r="E15" s="593">
        <v>230</v>
      </c>
      <c r="F15" s="593" t="s">
        <v>2521</v>
      </c>
      <c r="G15" s="642">
        <v>23.3</v>
      </c>
      <c r="H15" s="593"/>
      <c r="I15" s="593">
        <v>0</v>
      </c>
      <c r="J15" s="595"/>
      <c r="K15" s="595"/>
      <c r="L15" s="595">
        <v>71350</v>
      </c>
      <c r="M15" s="596"/>
      <c r="N15" s="643" t="s">
        <v>2875</v>
      </c>
      <c r="O15" s="656"/>
      <c r="P15" s="601"/>
      <c r="Q15" s="603"/>
      <c r="R15" s="603"/>
      <c r="S15" s="603"/>
      <c r="T15" s="603"/>
      <c r="U15" s="603"/>
      <c r="V15" s="603"/>
      <c r="W15" s="603"/>
      <c r="X15" s="603"/>
      <c r="Y15" s="603"/>
      <c r="Z15" s="603"/>
      <c r="AA15" s="603"/>
      <c r="AB15" s="603"/>
      <c r="AC15" s="603"/>
      <c r="AD15" s="603"/>
      <c r="AE15" s="611"/>
      <c r="AF15" s="611"/>
      <c r="AG15" s="119"/>
      <c r="AH15" s="119"/>
      <c r="AI15" s="119"/>
      <c r="AJ15" s="119"/>
      <c r="AK15" s="119"/>
      <c r="AL15" s="119"/>
      <c r="AM15" s="119"/>
      <c r="AN15" s="119"/>
      <c r="AO15" s="119"/>
      <c r="AP15" s="119"/>
      <c r="AQ15" s="119"/>
      <c r="AR15" s="119"/>
      <c r="AS15" s="119"/>
      <c r="AT15" s="119"/>
      <c r="AU15" s="119"/>
      <c r="AV15" s="119"/>
      <c r="AW15" s="119"/>
      <c r="AX15" s="120"/>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22"/>
      <c r="CZ15" s="122"/>
      <c r="DA15" s="122"/>
      <c r="DB15" s="122"/>
      <c r="DC15" s="122"/>
      <c r="DD15" s="122"/>
      <c r="DE15" s="122"/>
      <c r="DF15" s="122"/>
      <c r="DG15" s="122"/>
      <c r="DH15" s="122"/>
      <c r="DI15" s="122"/>
      <c r="DJ15" s="122"/>
      <c r="DK15" s="122"/>
      <c r="DL15" s="122"/>
      <c r="DM15" s="122"/>
      <c r="DN15" s="122"/>
      <c r="DO15" s="122"/>
      <c r="DP15" s="122"/>
      <c r="DQ15" s="122"/>
      <c r="DR15" s="122"/>
      <c r="DS15" s="122"/>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122"/>
      <c r="EY15" s="122"/>
      <c r="EZ15" s="122"/>
      <c r="FA15" s="122"/>
      <c r="FB15" s="122"/>
      <c r="FC15" s="122"/>
      <c r="FD15" s="122"/>
      <c r="FE15" s="122"/>
      <c r="FF15" s="122"/>
      <c r="FG15" s="122"/>
      <c r="FH15" s="122"/>
      <c r="FI15" s="122"/>
      <c r="FJ15" s="122"/>
      <c r="FK15" s="122"/>
      <c r="FL15" s="122"/>
      <c r="FM15" s="122"/>
      <c r="FN15" s="122"/>
      <c r="FO15" s="122"/>
      <c r="FP15" s="122"/>
      <c r="FQ15" s="122"/>
      <c r="FR15" s="122"/>
      <c r="FS15" s="122"/>
      <c r="FT15" s="122"/>
      <c r="FU15" s="122"/>
      <c r="FV15" s="122"/>
      <c r="FW15" s="122"/>
      <c r="FX15" s="122"/>
      <c r="FY15" s="122"/>
      <c r="FZ15" s="122"/>
      <c r="GA15" s="122"/>
      <c r="GB15" s="122"/>
      <c r="GC15" s="122"/>
      <c r="GD15" s="122"/>
      <c r="GE15" s="122"/>
      <c r="GF15" s="122"/>
      <c r="GG15" s="122"/>
      <c r="GH15" s="122"/>
      <c r="GI15" s="122"/>
      <c r="GJ15" s="122"/>
      <c r="GK15" s="122"/>
      <c r="GL15" s="122"/>
      <c r="GM15" s="122"/>
      <c r="GN15" s="122"/>
      <c r="GO15" s="122"/>
      <c r="GP15" s="122"/>
      <c r="GQ15" s="122"/>
      <c r="GR15" s="122"/>
      <c r="GS15" s="122"/>
      <c r="GT15" s="122"/>
      <c r="GU15" s="122"/>
      <c r="GV15" s="122"/>
      <c r="GW15" s="122"/>
      <c r="GX15" s="122"/>
      <c r="GY15" s="122"/>
      <c r="GZ15" s="122"/>
      <c r="HA15" s="122"/>
      <c r="HB15" s="122"/>
      <c r="HC15" s="122"/>
      <c r="HD15" s="122"/>
      <c r="HE15" s="122"/>
      <c r="HF15" s="122"/>
      <c r="HG15" s="122"/>
      <c r="HH15" s="122"/>
      <c r="HI15" s="122"/>
      <c r="HJ15" s="122"/>
      <c r="HK15" s="122"/>
      <c r="HL15" s="122"/>
      <c r="HM15" s="122"/>
      <c r="HN15" s="122"/>
      <c r="HO15" s="122"/>
      <c r="HP15" s="122"/>
      <c r="HQ15" s="122"/>
      <c r="HR15" s="122"/>
      <c r="HS15" s="122"/>
      <c r="HT15" s="122"/>
      <c r="HU15" s="122"/>
      <c r="HV15" s="122"/>
      <c r="HW15" s="122"/>
      <c r="HX15" s="122"/>
      <c r="HY15" s="122"/>
      <c r="HZ15" s="122"/>
      <c r="IA15" s="122"/>
      <c r="IB15" s="122"/>
      <c r="IC15" s="122"/>
      <c r="ID15" s="122"/>
      <c r="IE15" s="122"/>
      <c r="IF15" s="122"/>
      <c r="IG15" s="122"/>
      <c r="IH15" s="122"/>
      <c r="II15" s="122"/>
      <c r="IJ15" s="122"/>
      <c r="IK15" s="122"/>
      <c r="IL15" s="122"/>
      <c r="IM15" s="122"/>
      <c r="IN15" s="122"/>
      <c r="IO15" s="122"/>
      <c r="IP15" s="122"/>
      <c r="IQ15" s="122"/>
      <c r="IR15" s="122"/>
      <c r="IS15" s="122"/>
      <c r="IT15" s="122"/>
      <c r="IU15" s="122"/>
      <c r="IV15" s="122"/>
      <c r="IW15" s="122"/>
      <c r="IX15" s="122"/>
      <c r="IY15" s="122"/>
      <c r="IZ15" s="122"/>
      <c r="JA15" s="122"/>
      <c r="JB15" s="122"/>
      <c r="JC15" s="122"/>
      <c r="JD15" s="122"/>
      <c r="JE15" s="122"/>
      <c r="JF15" s="122"/>
      <c r="JG15" s="122"/>
      <c r="JH15" s="122"/>
      <c r="JI15" s="122"/>
      <c r="JJ15" s="122"/>
      <c r="JK15" s="122"/>
      <c r="JL15" s="122"/>
      <c r="JM15" s="122"/>
      <c r="JN15" s="122"/>
      <c r="JO15" s="122"/>
      <c r="JP15" s="122"/>
      <c r="JQ15" s="122"/>
      <c r="JR15" s="122"/>
      <c r="JS15" s="122"/>
      <c r="JT15" s="122"/>
      <c r="JU15" s="122"/>
      <c r="JV15" s="122"/>
      <c r="JW15" s="122"/>
      <c r="JX15" s="122"/>
      <c r="JY15" s="122"/>
      <c r="JZ15" s="122"/>
      <c r="KA15" s="122"/>
      <c r="KB15" s="122"/>
      <c r="KC15" s="122"/>
      <c r="KD15" s="122"/>
      <c r="KE15" s="122"/>
      <c r="KF15" s="122"/>
      <c r="KG15" s="122"/>
      <c r="KH15" s="122"/>
      <c r="KI15" s="122"/>
      <c r="KJ15" s="122"/>
      <c r="KK15" s="122"/>
      <c r="KL15" s="122"/>
      <c r="KM15" s="122"/>
      <c r="KN15" s="122"/>
      <c r="KO15" s="122"/>
      <c r="KP15" s="122"/>
      <c r="KQ15" s="122"/>
      <c r="KR15" s="122"/>
      <c r="KS15" s="122"/>
      <c r="KT15" s="122"/>
      <c r="KU15" s="122"/>
      <c r="KV15" s="122"/>
      <c r="KW15" s="122"/>
      <c r="KX15" s="122"/>
      <c r="KY15" s="122"/>
      <c r="KZ15" s="122"/>
      <c r="LA15" s="122"/>
      <c r="LB15" s="122"/>
      <c r="LC15" s="122"/>
      <c r="LD15" s="122"/>
      <c r="LE15" s="122"/>
      <c r="LF15" s="122"/>
      <c r="LG15" s="122"/>
      <c r="LH15" s="122"/>
      <c r="LI15" s="122"/>
      <c r="LJ15" s="122"/>
      <c r="LK15" s="122"/>
      <c r="LL15" s="122"/>
      <c r="LM15" s="122"/>
      <c r="LN15" s="122"/>
      <c r="LO15" s="122"/>
      <c r="LP15" s="122"/>
      <c r="LQ15" s="122"/>
      <c r="LR15" s="122"/>
      <c r="LS15" s="122"/>
      <c r="LT15" s="122"/>
      <c r="LU15" s="122"/>
      <c r="LV15" s="122"/>
      <c r="LW15" s="122"/>
      <c r="LX15" s="122"/>
      <c r="LY15" s="122"/>
      <c r="LZ15" s="122"/>
      <c r="MA15" s="122"/>
      <c r="MB15" s="122"/>
      <c r="MC15" s="122"/>
      <c r="MD15" s="122"/>
      <c r="ME15" s="122"/>
      <c r="MF15" s="122"/>
      <c r="MG15" s="122"/>
      <c r="MH15" s="122"/>
      <c r="MI15" s="122"/>
      <c r="MJ15" s="122"/>
      <c r="MK15" s="122"/>
      <c r="ML15" s="122"/>
      <c r="MM15" s="122"/>
      <c r="MN15" s="122"/>
      <c r="MO15" s="122"/>
      <c r="MP15" s="122"/>
      <c r="MQ15" s="122"/>
      <c r="MR15" s="122"/>
      <c r="MS15" s="122"/>
      <c r="MT15" s="122"/>
      <c r="MU15" s="122"/>
      <c r="MV15" s="122"/>
      <c r="MW15" s="122"/>
      <c r="MX15" s="122"/>
      <c r="MY15" s="122"/>
      <c r="MZ15" s="122"/>
      <c r="NA15" s="122"/>
      <c r="NB15" s="122"/>
      <c r="NC15" s="122"/>
      <c r="ND15" s="122"/>
      <c r="NE15" s="122"/>
      <c r="NF15" s="122"/>
      <c r="NG15" s="122"/>
      <c r="NH15" s="122"/>
      <c r="NI15" s="122"/>
      <c r="NJ15" s="122"/>
      <c r="NK15" s="122"/>
      <c r="NL15" s="122"/>
      <c r="NM15" s="122"/>
      <c r="NN15" s="122"/>
      <c r="NO15" s="122"/>
      <c r="NP15" s="122"/>
      <c r="NQ15" s="122"/>
      <c r="NR15" s="122"/>
      <c r="NS15" s="122"/>
      <c r="NT15" s="122"/>
      <c r="NU15" s="122"/>
      <c r="NV15" s="122"/>
      <c r="NW15" s="122"/>
      <c r="NX15" s="122"/>
      <c r="NY15" s="122"/>
      <c r="NZ15" s="122"/>
      <c r="OA15" s="122"/>
      <c r="OB15" s="122"/>
      <c r="OC15" s="122"/>
      <c r="OD15" s="122"/>
      <c r="OE15" s="122"/>
      <c r="OF15" s="122"/>
      <c r="OG15" s="122"/>
      <c r="OH15" s="122"/>
      <c r="OI15" s="122"/>
      <c r="OJ15" s="122"/>
      <c r="OK15" s="122"/>
      <c r="OL15" s="122"/>
      <c r="OM15" s="122"/>
      <c r="ON15" s="122"/>
      <c r="OO15" s="122"/>
      <c r="OP15" s="122"/>
      <c r="OQ15" s="122"/>
      <c r="OR15" s="122"/>
      <c r="OS15" s="122"/>
      <c r="OT15" s="122"/>
      <c r="OU15" s="122"/>
      <c r="OV15" s="122"/>
      <c r="OW15" s="122"/>
      <c r="OX15" s="122"/>
      <c r="OY15" s="122"/>
      <c r="OZ15" s="122"/>
      <c r="PA15" s="122"/>
      <c r="PB15" s="122"/>
      <c r="PC15" s="122"/>
      <c r="PD15" s="122"/>
      <c r="PE15" s="122"/>
      <c r="PF15" s="122"/>
      <c r="PG15" s="122"/>
      <c r="PH15" s="122"/>
      <c r="PI15" s="122"/>
      <c r="PJ15" s="122"/>
      <c r="PK15" s="122"/>
      <c r="PL15" s="122"/>
      <c r="PM15" s="122"/>
      <c r="PN15" s="122"/>
      <c r="PO15" s="122"/>
      <c r="PP15" s="122"/>
      <c r="PQ15" s="122"/>
      <c r="PR15" s="122"/>
      <c r="PS15" s="122"/>
      <c r="PT15" s="122"/>
      <c r="PU15" s="122"/>
      <c r="PV15" s="122"/>
      <c r="PW15" s="122"/>
      <c r="PX15" s="122"/>
      <c r="PY15" s="122"/>
      <c r="PZ15" s="122"/>
      <c r="QA15" s="122"/>
      <c r="QB15" s="122"/>
      <c r="QC15" s="122"/>
      <c r="QD15" s="122"/>
      <c r="QE15" s="122"/>
      <c r="QF15" s="122"/>
      <c r="QG15" s="122"/>
      <c r="QH15" s="122"/>
      <c r="QI15" s="122"/>
      <c r="QJ15" s="122"/>
      <c r="QK15" s="122"/>
      <c r="QL15" s="122"/>
      <c r="QM15" s="122"/>
      <c r="QN15" s="122"/>
      <c r="QO15" s="122"/>
      <c r="QP15" s="122"/>
      <c r="QQ15" s="122"/>
      <c r="QR15" s="122"/>
      <c r="QS15" s="122"/>
      <c r="QT15" s="122"/>
      <c r="QU15" s="122"/>
      <c r="QV15" s="122"/>
      <c r="QW15" s="122"/>
      <c r="QX15" s="122"/>
      <c r="QY15" s="122"/>
      <c r="QZ15" s="122"/>
      <c r="RA15" s="122"/>
      <c r="RB15" s="122"/>
      <c r="RC15" s="122"/>
      <c r="RD15" s="122"/>
      <c r="RE15" s="122"/>
      <c r="RF15" s="122"/>
      <c r="RG15" s="122"/>
      <c r="RH15" s="122"/>
      <c r="RI15" s="122"/>
      <c r="RJ15" s="122"/>
      <c r="RK15" s="122"/>
      <c r="RL15" s="122"/>
      <c r="RM15" s="122"/>
      <c r="RN15" s="122"/>
      <c r="RO15" s="122"/>
      <c r="RP15" s="122"/>
      <c r="RQ15" s="122"/>
      <c r="RR15" s="122"/>
      <c r="RS15" s="122"/>
      <c r="RT15" s="122"/>
      <c r="RU15" s="122"/>
      <c r="RV15" s="122"/>
      <c r="RW15" s="122"/>
      <c r="RX15" s="122"/>
      <c r="RY15" s="122"/>
      <c r="RZ15" s="122"/>
      <c r="SA15" s="122"/>
      <c r="SB15" s="122"/>
      <c r="SC15" s="122"/>
      <c r="SD15" s="122"/>
      <c r="SE15" s="122"/>
      <c r="SF15" s="122"/>
    </row>
    <row r="16" spans="1:500" s="657" customFormat="1" ht="30.25" customHeight="1" x14ac:dyDescent="0.25">
      <c r="A16" s="593" t="s">
        <v>2993</v>
      </c>
      <c r="B16" s="593" t="s">
        <v>3422</v>
      </c>
      <c r="C16" s="594" t="str">
        <f>CONCATENATE(A16," ",B16)</f>
        <v>Audi e-tron Sportback (55 quattro)</v>
      </c>
      <c r="D16" s="593" t="s">
        <v>2741</v>
      </c>
      <c r="E16" s="593">
        <v>300</v>
      </c>
      <c r="F16" s="593" t="s">
        <v>2521</v>
      </c>
      <c r="G16" s="642">
        <v>23.8</v>
      </c>
      <c r="H16" s="593"/>
      <c r="I16" s="593">
        <v>0</v>
      </c>
      <c r="J16" s="595"/>
      <c r="K16" s="595"/>
      <c r="L16" s="595">
        <v>83750</v>
      </c>
      <c r="M16" s="596"/>
      <c r="N16" s="643" t="s">
        <v>2875</v>
      </c>
      <c r="O16" s="656"/>
      <c r="P16" s="601"/>
      <c r="Q16" s="603"/>
      <c r="R16" s="603"/>
      <c r="S16" s="603"/>
      <c r="T16" s="603"/>
      <c r="U16" s="603"/>
      <c r="V16" s="603"/>
      <c r="W16" s="603"/>
      <c r="X16" s="603"/>
      <c r="Y16" s="603"/>
      <c r="Z16" s="603"/>
      <c r="AA16" s="603"/>
      <c r="AB16" s="603"/>
      <c r="AC16" s="603"/>
      <c r="AD16" s="603"/>
      <c r="AE16" s="611"/>
      <c r="AF16" s="611"/>
      <c r="AG16" s="119"/>
      <c r="AH16" s="119"/>
      <c r="AI16" s="119"/>
      <c r="AJ16" s="119"/>
      <c r="AK16" s="119"/>
      <c r="AL16" s="119"/>
      <c r="AM16" s="119"/>
      <c r="AN16" s="119"/>
      <c r="AO16" s="119"/>
      <c r="AP16" s="119"/>
      <c r="AQ16" s="119"/>
      <c r="AR16" s="119"/>
      <c r="AS16" s="119"/>
      <c r="AT16" s="119"/>
      <c r="AU16" s="119"/>
      <c r="AV16" s="119"/>
      <c r="AW16" s="119"/>
      <c r="AX16" s="120"/>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c r="CW16" s="122"/>
      <c r="CX16" s="122"/>
      <c r="CY16" s="122"/>
      <c r="CZ16" s="122"/>
      <c r="DA16" s="122"/>
      <c r="DB16" s="122"/>
      <c r="DC16" s="122"/>
      <c r="DD16" s="122"/>
      <c r="DE16" s="122"/>
      <c r="DF16" s="122"/>
      <c r="DG16" s="122"/>
      <c r="DH16" s="122"/>
      <c r="DI16" s="122"/>
      <c r="DJ16" s="122"/>
      <c r="DK16" s="122"/>
      <c r="DL16" s="122"/>
      <c r="DM16" s="122"/>
      <c r="DN16" s="122"/>
      <c r="DO16" s="122"/>
      <c r="DP16" s="122"/>
      <c r="DQ16" s="122"/>
      <c r="DR16" s="122"/>
      <c r="DS16" s="122"/>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122"/>
      <c r="EY16" s="122"/>
      <c r="EZ16" s="122"/>
      <c r="FA16" s="122"/>
      <c r="FB16" s="122"/>
      <c r="FC16" s="122"/>
      <c r="FD16" s="122"/>
      <c r="FE16" s="122"/>
      <c r="FF16" s="122"/>
      <c r="FG16" s="122"/>
      <c r="FH16" s="122"/>
      <c r="FI16" s="122"/>
      <c r="FJ16" s="122"/>
      <c r="FK16" s="122"/>
      <c r="FL16" s="122"/>
      <c r="FM16" s="122"/>
      <c r="FN16" s="122"/>
      <c r="FO16" s="122"/>
      <c r="FP16" s="122"/>
      <c r="FQ16" s="122"/>
      <c r="FR16" s="122"/>
      <c r="FS16" s="122"/>
      <c r="FT16" s="122"/>
      <c r="FU16" s="122"/>
      <c r="FV16" s="122"/>
      <c r="FW16" s="122"/>
      <c r="FX16" s="122"/>
      <c r="FY16" s="122"/>
      <c r="FZ16" s="122"/>
      <c r="GA16" s="122"/>
      <c r="GB16" s="122"/>
      <c r="GC16" s="122"/>
      <c r="GD16" s="122"/>
      <c r="GE16" s="122"/>
      <c r="GF16" s="122"/>
      <c r="GG16" s="122"/>
      <c r="GH16" s="122"/>
      <c r="GI16" s="122"/>
      <c r="GJ16" s="122"/>
      <c r="GK16" s="122"/>
      <c r="GL16" s="122"/>
      <c r="GM16" s="122"/>
      <c r="GN16" s="122"/>
      <c r="GO16" s="122"/>
      <c r="GP16" s="122"/>
      <c r="GQ16" s="122"/>
      <c r="GR16" s="122"/>
      <c r="GS16" s="122"/>
      <c r="GT16" s="122"/>
      <c r="GU16" s="122"/>
      <c r="GV16" s="122"/>
      <c r="GW16" s="122"/>
      <c r="GX16" s="122"/>
      <c r="GY16" s="122"/>
      <c r="GZ16" s="122"/>
      <c r="HA16" s="122"/>
      <c r="HB16" s="122"/>
      <c r="HC16" s="122"/>
      <c r="HD16" s="122"/>
      <c r="HE16" s="122"/>
      <c r="HF16" s="122"/>
      <c r="HG16" s="122"/>
      <c r="HH16" s="122"/>
      <c r="HI16" s="122"/>
      <c r="HJ16" s="122"/>
      <c r="HK16" s="122"/>
      <c r="HL16" s="122"/>
      <c r="HM16" s="122"/>
      <c r="HN16" s="122"/>
      <c r="HO16" s="122"/>
      <c r="HP16" s="122"/>
      <c r="HQ16" s="122"/>
      <c r="HR16" s="122"/>
      <c r="HS16" s="122"/>
      <c r="HT16" s="122"/>
      <c r="HU16" s="122"/>
      <c r="HV16" s="122"/>
      <c r="HW16" s="122"/>
      <c r="HX16" s="122"/>
      <c r="HY16" s="122"/>
      <c r="HZ16" s="122"/>
      <c r="IA16" s="122"/>
      <c r="IB16" s="122"/>
      <c r="IC16" s="122"/>
      <c r="ID16" s="122"/>
      <c r="IE16" s="122"/>
      <c r="IF16" s="122"/>
      <c r="IG16" s="122"/>
      <c r="IH16" s="122"/>
      <c r="II16" s="122"/>
      <c r="IJ16" s="122"/>
      <c r="IK16" s="122"/>
      <c r="IL16" s="122"/>
      <c r="IM16" s="122"/>
      <c r="IN16" s="122"/>
      <c r="IO16" s="122"/>
      <c r="IP16" s="122"/>
      <c r="IQ16" s="122"/>
      <c r="IR16" s="122"/>
      <c r="IS16" s="122"/>
      <c r="IT16" s="122"/>
      <c r="IU16" s="122"/>
      <c r="IV16" s="122"/>
      <c r="IW16" s="122"/>
      <c r="IX16" s="122"/>
      <c r="IY16" s="122"/>
      <c r="IZ16" s="122"/>
      <c r="JA16" s="122"/>
      <c r="JB16" s="122"/>
      <c r="JC16" s="122"/>
      <c r="JD16" s="122"/>
      <c r="JE16" s="122"/>
      <c r="JF16" s="122"/>
      <c r="JG16" s="122"/>
      <c r="JH16" s="122"/>
      <c r="JI16" s="122"/>
      <c r="JJ16" s="122"/>
      <c r="JK16" s="122"/>
      <c r="JL16" s="122"/>
      <c r="JM16" s="122"/>
      <c r="JN16" s="122"/>
      <c r="JO16" s="122"/>
      <c r="JP16" s="122"/>
      <c r="JQ16" s="122"/>
      <c r="JR16" s="122"/>
      <c r="JS16" s="122"/>
      <c r="JT16" s="122"/>
      <c r="JU16" s="122"/>
      <c r="JV16" s="122"/>
      <c r="JW16" s="122"/>
      <c r="JX16" s="122"/>
      <c r="JY16" s="122"/>
      <c r="JZ16" s="122"/>
      <c r="KA16" s="122"/>
      <c r="KB16" s="122"/>
      <c r="KC16" s="122"/>
      <c r="KD16" s="122"/>
      <c r="KE16" s="122"/>
      <c r="KF16" s="122"/>
      <c r="KG16" s="122"/>
      <c r="KH16" s="122"/>
      <c r="KI16" s="122"/>
      <c r="KJ16" s="122"/>
      <c r="KK16" s="122"/>
      <c r="KL16" s="122"/>
      <c r="KM16" s="122"/>
      <c r="KN16" s="122"/>
      <c r="KO16" s="122"/>
      <c r="KP16" s="122"/>
      <c r="KQ16" s="122"/>
      <c r="KR16" s="122"/>
      <c r="KS16" s="122"/>
      <c r="KT16" s="122"/>
      <c r="KU16" s="122"/>
      <c r="KV16" s="122"/>
      <c r="KW16" s="122"/>
      <c r="KX16" s="122"/>
      <c r="KY16" s="122"/>
      <c r="KZ16" s="122"/>
      <c r="LA16" s="122"/>
      <c r="LB16" s="122"/>
      <c r="LC16" s="122"/>
      <c r="LD16" s="122"/>
      <c r="LE16" s="122"/>
      <c r="LF16" s="122"/>
      <c r="LG16" s="122"/>
      <c r="LH16" s="122"/>
      <c r="LI16" s="122"/>
      <c r="LJ16" s="122"/>
      <c r="LK16" s="122"/>
      <c r="LL16" s="122"/>
      <c r="LM16" s="122"/>
      <c r="LN16" s="122"/>
      <c r="LO16" s="122"/>
      <c r="LP16" s="122"/>
      <c r="LQ16" s="122"/>
      <c r="LR16" s="122"/>
      <c r="LS16" s="122"/>
      <c r="LT16" s="122"/>
      <c r="LU16" s="122"/>
      <c r="LV16" s="122"/>
      <c r="LW16" s="122"/>
      <c r="LX16" s="122"/>
      <c r="LY16" s="122"/>
      <c r="LZ16" s="122"/>
      <c r="MA16" s="122"/>
      <c r="MB16" s="122"/>
      <c r="MC16" s="122"/>
      <c r="MD16" s="122"/>
      <c r="ME16" s="122"/>
      <c r="MF16" s="122"/>
      <c r="MG16" s="122"/>
      <c r="MH16" s="122"/>
      <c r="MI16" s="122"/>
      <c r="MJ16" s="122"/>
      <c r="MK16" s="122"/>
      <c r="ML16" s="122"/>
      <c r="MM16" s="122"/>
      <c r="MN16" s="122"/>
      <c r="MO16" s="122"/>
      <c r="MP16" s="122"/>
      <c r="MQ16" s="122"/>
      <c r="MR16" s="122"/>
      <c r="MS16" s="122"/>
      <c r="MT16" s="122"/>
      <c r="MU16" s="122"/>
      <c r="MV16" s="122"/>
      <c r="MW16" s="122"/>
      <c r="MX16" s="122"/>
      <c r="MY16" s="122"/>
      <c r="MZ16" s="122"/>
      <c r="NA16" s="122"/>
      <c r="NB16" s="122"/>
      <c r="NC16" s="122"/>
      <c r="ND16" s="122"/>
      <c r="NE16" s="122"/>
      <c r="NF16" s="122"/>
      <c r="NG16" s="122"/>
      <c r="NH16" s="122"/>
      <c r="NI16" s="122"/>
      <c r="NJ16" s="122"/>
      <c r="NK16" s="122"/>
      <c r="NL16" s="122"/>
      <c r="NM16" s="122"/>
      <c r="NN16" s="122"/>
      <c r="NO16" s="122"/>
      <c r="NP16" s="122"/>
      <c r="NQ16" s="122"/>
      <c r="NR16" s="122"/>
      <c r="NS16" s="122"/>
      <c r="NT16" s="122"/>
      <c r="NU16" s="122"/>
      <c r="NV16" s="122"/>
      <c r="NW16" s="122"/>
      <c r="NX16" s="122"/>
      <c r="NY16" s="122"/>
      <c r="NZ16" s="122"/>
      <c r="OA16" s="122"/>
      <c r="OB16" s="122"/>
      <c r="OC16" s="122"/>
      <c r="OD16" s="122"/>
      <c r="OE16" s="122"/>
      <c r="OF16" s="122"/>
      <c r="OG16" s="122"/>
      <c r="OH16" s="122"/>
      <c r="OI16" s="122"/>
      <c r="OJ16" s="122"/>
      <c r="OK16" s="122"/>
      <c r="OL16" s="122"/>
      <c r="OM16" s="122"/>
      <c r="ON16" s="122"/>
      <c r="OO16" s="122"/>
      <c r="OP16" s="122"/>
      <c r="OQ16" s="122"/>
      <c r="OR16" s="122"/>
      <c r="OS16" s="122"/>
      <c r="OT16" s="122"/>
      <c r="OU16" s="122"/>
      <c r="OV16" s="122"/>
      <c r="OW16" s="122"/>
      <c r="OX16" s="122"/>
      <c r="OY16" s="122"/>
      <c r="OZ16" s="122"/>
      <c r="PA16" s="122"/>
      <c r="PB16" s="122"/>
      <c r="PC16" s="122"/>
      <c r="PD16" s="122"/>
      <c r="PE16" s="122"/>
      <c r="PF16" s="122"/>
      <c r="PG16" s="122"/>
      <c r="PH16" s="122"/>
      <c r="PI16" s="122"/>
      <c r="PJ16" s="122"/>
      <c r="PK16" s="122"/>
      <c r="PL16" s="122"/>
      <c r="PM16" s="122"/>
      <c r="PN16" s="122"/>
      <c r="PO16" s="122"/>
      <c r="PP16" s="122"/>
      <c r="PQ16" s="122"/>
      <c r="PR16" s="122"/>
      <c r="PS16" s="122"/>
      <c r="PT16" s="122"/>
      <c r="PU16" s="122"/>
      <c r="PV16" s="122"/>
      <c r="PW16" s="122"/>
      <c r="PX16" s="122"/>
      <c r="PY16" s="122"/>
      <c r="PZ16" s="122"/>
      <c r="QA16" s="122"/>
      <c r="QB16" s="122"/>
      <c r="QC16" s="122"/>
      <c r="QD16" s="122"/>
      <c r="QE16" s="122"/>
      <c r="QF16" s="122"/>
      <c r="QG16" s="122"/>
      <c r="QH16" s="122"/>
      <c r="QI16" s="122"/>
      <c r="QJ16" s="122"/>
      <c r="QK16" s="122"/>
      <c r="QL16" s="122"/>
      <c r="QM16" s="122"/>
      <c r="QN16" s="122"/>
      <c r="QO16" s="122"/>
      <c r="QP16" s="122"/>
      <c r="QQ16" s="122"/>
      <c r="QR16" s="122"/>
      <c r="QS16" s="122"/>
      <c r="QT16" s="122"/>
      <c r="QU16" s="122"/>
      <c r="QV16" s="122"/>
      <c r="QW16" s="122"/>
      <c r="QX16" s="122"/>
      <c r="QY16" s="122"/>
      <c r="QZ16" s="122"/>
      <c r="RA16" s="122"/>
      <c r="RB16" s="122"/>
      <c r="RC16" s="122"/>
      <c r="RD16" s="122"/>
      <c r="RE16" s="122"/>
      <c r="RF16" s="122"/>
      <c r="RG16" s="122"/>
      <c r="RH16" s="122"/>
      <c r="RI16" s="122"/>
      <c r="RJ16" s="122"/>
      <c r="RK16" s="122"/>
      <c r="RL16" s="122"/>
      <c r="RM16" s="122"/>
      <c r="RN16" s="122"/>
      <c r="RO16" s="122"/>
      <c r="RP16" s="122"/>
      <c r="RQ16" s="122"/>
      <c r="RR16" s="122"/>
      <c r="RS16" s="122"/>
      <c r="RT16" s="122"/>
      <c r="RU16" s="122"/>
      <c r="RV16" s="122"/>
      <c r="RW16" s="122"/>
      <c r="RX16" s="122"/>
      <c r="RY16" s="122"/>
      <c r="RZ16" s="122"/>
      <c r="SA16" s="122"/>
      <c r="SB16" s="122"/>
      <c r="SC16" s="122"/>
      <c r="SD16" s="122"/>
      <c r="SE16" s="122"/>
      <c r="SF16" s="122"/>
    </row>
    <row r="17" spans="1:500" s="657" customFormat="1" ht="30.25" customHeight="1" x14ac:dyDescent="0.25">
      <c r="A17" s="593" t="s">
        <v>2993</v>
      </c>
      <c r="B17" s="593" t="s">
        <v>3423</v>
      </c>
      <c r="C17" s="594" t="str">
        <f>CONCATENATE(A17," ",B17)</f>
        <v>Audi e-tron Sportback advanced 
(50 quattro)</v>
      </c>
      <c r="D17" s="593" t="s">
        <v>2741</v>
      </c>
      <c r="E17" s="593">
        <v>230</v>
      </c>
      <c r="F17" s="593" t="s">
        <v>2521</v>
      </c>
      <c r="G17" s="642">
        <v>23.3</v>
      </c>
      <c r="H17" s="593"/>
      <c r="I17" s="593">
        <v>0</v>
      </c>
      <c r="J17" s="595"/>
      <c r="K17" s="595"/>
      <c r="L17" s="595">
        <v>72800</v>
      </c>
      <c r="M17" s="596"/>
      <c r="N17" s="643" t="s">
        <v>2875</v>
      </c>
      <c r="O17" s="656"/>
      <c r="P17" s="601"/>
      <c r="Q17" s="603"/>
      <c r="R17" s="603"/>
      <c r="S17" s="603"/>
      <c r="T17" s="603"/>
      <c r="U17" s="603"/>
      <c r="V17" s="603"/>
      <c r="W17" s="603"/>
      <c r="X17" s="603"/>
      <c r="Y17" s="603"/>
      <c r="Z17" s="603"/>
      <c r="AA17" s="603"/>
      <c r="AB17" s="603"/>
      <c r="AC17" s="603"/>
      <c r="AD17" s="603"/>
      <c r="AE17" s="611"/>
      <c r="AF17" s="611"/>
      <c r="AG17" s="119"/>
      <c r="AH17" s="119"/>
      <c r="AI17" s="119"/>
      <c r="AJ17" s="119"/>
      <c r="AK17" s="119"/>
      <c r="AL17" s="119"/>
      <c r="AM17" s="119"/>
      <c r="AN17" s="119"/>
      <c r="AO17" s="119"/>
      <c r="AP17" s="119"/>
      <c r="AQ17" s="119"/>
      <c r="AR17" s="119"/>
      <c r="AS17" s="119"/>
      <c r="AT17" s="119"/>
      <c r="AU17" s="119"/>
      <c r="AV17" s="119"/>
      <c r="AW17" s="119"/>
      <c r="AX17" s="120"/>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row>
    <row r="18" spans="1:500" s="657" customFormat="1" ht="30.25" customHeight="1" x14ac:dyDescent="0.25">
      <c r="A18" s="593" t="s">
        <v>2993</v>
      </c>
      <c r="B18" s="593" t="s">
        <v>3424</v>
      </c>
      <c r="C18" s="594" t="str">
        <f>CONCATENATE(A18," ",B18)</f>
        <v>Audi e-tron Sportback advanced 
(55 quattro)</v>
      </c>
      <c r="D18" s="593" t="s">
        <v>2741</v>
      </c>
      <c r="E18" s="593">
        <v>300</v>
      </c>
      <c r="F18" s="593" t="s">
        <v>2521</v>
      </c>
      <c r="G18" s="642">
        <v>23.8</v>
      </c>
      <c r="H18" s="593"/>
      <c r="I18" s="593">
        <v>0</v>
      </c>
      <c r="J18" s="595"/>
      <c r="K18" s="595"/>
      <c r="L18" s="595">
        <v>85200</v>
      </c>
      <c r="M18" s="596"/>
      <c r="N18" s="643" t="s">
        <v>2875</v>
      </c>
      <c r="O18" s="656"/>
      <c r="P18" s="601"/>
      <c r="Q18" s="603"/>
      <c r="R18" s="603"/>
      <c r="S18" s="603"/>
      <c r="T18" s="603"/>
      <c r="U18" s="603"/>
      <c r="V18" s="603"/>
      <c r="W18" s="603"/>
      <c r="X18" s="603"/>
      <c r="Y18" s="603"/>
      <c r="Z18" s="603"/>
      <c r="AA18" s="603"/>
      <c r="AB18" s="603"/>
      <c r="AC18" s="603"/>
      <c r="AD18" s="603"/>
      <c r="AE18" s="611"/>
      <c r="AF18" s="611"/>
      <c r="AG18" s="119"/>
      <c r="AH18" s="119"/>
      <c r="AI18" s="119"/>
      <c r="AJ18" s="119"/>
      <c r="AK18" s="119"/>
      <c r="AL18" s="119"/>
      <c r="AM18" s="119"/>
      <c r="AN18" s="119"/>
      <c r="AO18" s="119"/>
      <c r="AP18" s="119"/>
      <c r="AQ18" s="119"/>
      <c r="AR18" s="119"/>
      <c r="AS18" s="119"/>
      <c r="AT18" s="119"/>
      <c r="AU18" s="119"/>
      <c r="AV18" s="119"/>
      <c r="AW18" s="119"/>
      <c r="AX18" s="120"/>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c r="FA18" s="122"/>
      <c r="FB18" s="122"/>
      <c r="FC18" s="122"/>
      <c r="FD18" s="122"/>
      <c r="FE18" s="122"/>
      <c r="FF18" s="122"/>
      <c r="FG18" s="122"/>
      <c r="FH18" s="122"/>
      <c r="FI18" s="122"/>
      <c r="FJ18" s="122"/>
      <c r="FK18" s="122"/>
      <c r="FL18" s="122"/>
      <c r="FM18" s="122"/>
      <c r="FN18" s="122"/>
      <c r="FO18" s="122"/>
      <c r="FP18" s="122"/>
      <c r="FQ18" s="122"/>
      <c r="FR18" s="122"/>
      <c r="FS18" s="122"/>
      <c r="FT18" s="122"/>
      <c r="FU18" s="122"/>
      <c r="FV18" s="122"/>
      <c r="FW18" s="122"/>
      <c r="FX18" s="122"/>
      <c r="FY18" s="122"/>
      <c r="FZ18" s="122"/>
      <c r="GA18" s="122"/>
      <c r="GB18" s="122"/>
      <c r="GC18" s="122"/>
      <c r="GD18" s="122"/>
      <c r="GE18" s="122"/>
      <c r="GF18" s="122"/>
      <c r="GG18" s="122"/>
      <c r="GH18" s="122"/>
      <c r="GI18" s="122"/>
      <c r="GJ18" s="122"/>
      <c r="GK18" s="122"/>
      <c r="GL18" s="122"/>
      <c r="GM18" s="122"/>
      <c r="GN18" s="122"/>
      <c r="GO18" s="122"/>
      <c r="GP18" s="122"/>
      <c r="GQ18" s="122"/>
      <c r="GR18" s="122"/>
      <c r="GS18" s="122"/>
      <c r="GT18" s="122"/>
      <c r="GU18" s="122"/>
      <c r="GV18" s="122"/>
      <c r="GW18" s="122"/>
      <c r="GX18" s="122"/>
      <c r="GY18" s="122"/>
      <c r="GZ18" s="122"/>
      <c r="HA18" s="122"/>
      <c r="HB18" s="122"/>
      <c r="HC18" s="122"/>
      <c r="HD18" s="122"/>
      <c r="HE18" s="122"/>
      <c r="HF18" s="122"/>
      <c r="HG18" s="122"/>
      <c r="HH18" s="122"/>
      <c r="HI18" s="122"/>
      <c r="HJ18" s="122"/>
      <c r="HK18" s="122"/>
      <c r="HL18" s="122"/>
      <c r="HM18" s="122"/>
      <c r="HN18" s="122"/>
      <c r="HO18" s="122"/>
      <c r="HP18" s="122"/>
      <c r="HQ18" s="122"/>
      <c r="HR18" s="122"/>
      <c r="HS18" s="122"/>
      <c r="HT18" s="122"/>
      <c r="HU18" s="122"/>
      <c r="HV18" s="122"/>
      <c r="HW18" s="122"/>
      <c r="HX18" s="122"/>
      <c r="HY18" s="122"/>
      <c r="HZ18" s="122"/>
      <c r="IA18" s="122"/>
      <c r="IB18" s="122"/>
      <c r="IC18" s="122"/>
      <c r="ID18" s="122"/>
      <c r="IE18" s="122"/>
      <c r="IF18" s="122"/>
      <c r="IG18" s="122"/>
      <c r="IH18" s="122"/>
      <c r="II18" s="122"/>
      <c r="IJ18" s="122"/>
      <c r="IK18" s="122"/>
      <c r="IL18" s="122"/>
      <c r="IM18" s="122"/>
      <c r="IN18" s="122"/>
      <c r="IO18" s="122"/>
      <c r="IP18" s="122"/>
      <c r="IQ18" s="122"/>
      <c r="IR18" s="122"/>
      <c r="IS18" s="122"/>
      <c r="IT18" s="122"/>
      <c r="IU18" s="122"/>
      <c r="IV18" s="122"/>
      <c r="IW18" s="122"/>
      <c r="IX18" s="122"/>
      <c r="IY18" s="122"/>
      <c r="IZ18" s="122"/>
      <c r="JA18" s="122"/>
      <c r="JB18" s="122"/>
      <c r="JC18" s="122"/>
      <c r="JD18" s="122"/>
      <c r="JE18" s="122"/>
      <c r="JF18" s="122"/>
      <c r="JG18" s="122"/>
      <c r="JH18" s="122"/>
      <c r="JI18" s="122"/>
      <c r="JJ18" s="122"/>
      <c r="JK18" s="122"/>
      <c r="JL18" s="122"/>
      <c r="JM18" s="122"/>
      <c r="JN18" s="122"/>
      <c r="JO18" s="122"/>
      <c r="JP18" s="122"/>
      <c r="JQ18" s="122"/>
      <c r="JR18" s="122"/>
      <c r="JS18" s="122"/>
      <c r="JT18" s="122"/>
      <c r="JU18" s="122"/>
      <c r="JV18" s="122"/>
      <c r="JW18" s="122"/>
      <c r="JX18" s="122"/>
      <c r="JY18" s="122"/>
      <c r="JZ18" s="122"/>
      <c r="KA18" s="122"/>
      <c r="KB18" s="122"/>
      <c r="KC18" s="122"/>
      <c r="KD18" s="122"/>
      <c r="KE18" s="122"/>
      <c r="KF18" s="122"/>
      <c r="KG18" s="122"/>
      <c r="KH18" s="122"/>
      <c r="KI18" s="122"/>
      <c r="KJ18" s="122"/>
      <c r="KK18" s="122"/>
      <c r="KL18" s="122"/>
      <c r="KM18" s="122"/>
      <c r="KN18" s="122"/>
      <c r="KO18" s="122"/>
      <c r="KP18" s="122"/>
      <c r="KQ18" s="122"/>
      <c r="KR18" s="122"/>
      <c r="KS18" s="122"/>
      <c r="KT18" s="122"/>
      <c r="KU18" s="122"/>
      <c r="KV18" s="122"/>
      <c r="KW18" s="122"/>
      <c r="KX18" s="122"/>
      <c r="KY18" s="122"/>
      <c r="KZ18" s="122"/>
      <c r="LA18" s="122"/>
      <c r="LB18" s="122"/>
      <c r="LC18" s="122"/>
      <c r="LD18" s="122"/>
      <c r="LE18" s="122"/>
      <c r="LF18" s="122"/>
      <c r="LG18" s="122"/>
      <c r="LH18" s="122"/>
      <c r="LI18" s="122"/>
      <c r="LJ18" s="122"/>
      <c r="LK18" s="122"/>
      <c r="LL18" s="122"/>
      <c r="LM18" s="122"/>
      <c r="LN18" s="122"/>
      <c r="LO18" s="122"/>
      <c r="LP18" s="122"/>
      <c r="LQ18" s="122"/>
      <c r="LR18" s="122"/>
      <c r="LS18" s="122"/>
      <c r="LT18" s="122"/>
      <c r="LU18" s="122"/>
      <c r="LV18" s="122"/>
      <c r="LW18" s="122"/>
      <c r="LX18" s="122"/>
      <c r="LY18" s="122"/>
      <c r="LZ18" s="122"/>
      <c r="MA18" s="122"/>
      <c r="MB18" s="122"/>
      <c r="MC18" s="122"/>
      <c r="MD18" s="122"/>
      <c r="ME18" s="122"/>
      <c r="MF18" s="122"/>
      <c r="MG18" s="122"/>
      <c r="MH18" s="122"/>
      <c r="MI18" s="122"/>
      <c r="MJ18" s="122"/>
      <c r="MK18" s="122"/>
      <c r="ML18" s="122"/>
      <c r="MM18" s="122"/>
      <c r="MN18" s="122"/>
      <c r="MO18" s="122"/>
      <c r="MP18" s="122"/>
      <c r="MQ18" s="122"/>
      <c r="MR18" s="122"/>
      <c r="MS18" s="122"/>
      <c r="MT18" s="122"/>
      <c r="MU18" s="122"/>
      <c r="MV18" s="122"/>
      <c r="MW18" s="122"/>
      <c r="MX18" s="122"/>
      <c r="MY18" s="122"/>
      <c r="MZ18" s="122"/>
      <c r="NA18" s="122"/>
      <c r="NB18" s="122"/>
      <c r="NC18" s="122"/>
      <c r="ND18" s="122"/>
      <c r="NE18" s="122"/>
      <c r="NF18" s="122"/>
      <c r="NG18" s="122"/>
      <c r="NH18" s="122"/>
      <c r="NI18" s="122"/>
      <c r="NJ18" s="122"/>
      <c r="NK18" s="122"/>
      <c r="NL18" s="122"/>
      <c r="NM18" s="122"/>
      <c r="NN18" s="122"/>
      <c r="NO18" s="122"/>
      <c r="NP18" s="122"/>
      <c r="NQ18" s="122"/>
      <c r="NR18" s="122"/>
      <c r="NS18" s="122"/>
      <c r="NT18" s="122"/>
      <c r="NU18" s="122"/>
      <c r="NV18" s="122"/>
      <c r="NW18" s="122"/>
      <c r="NX18" s="122"/>
      <c r="NY18" s="122"/>
      <c r="NZ18" s="122"/>
      <c r="OA18" s="122"/>
      <c r="OB18" s="122"/>
      <c r="OC18" s="122"/>
      <c r="OD18" s="122"/>
      <c r="OE18" s="122"/>
      <c r="OF18" s="122"/>
      <c r="OG18" s="122"/>
      <c r="OH18" s="122"/>
      <c r="OI18" s="122"/>
      <c r="OJ18" s="122"/>
      <c r="OK18" s="122"/>
      <c r="OL18" s="122"/>
      <c r="OM18" s="122"/>
      <c r="ON18" s="122"/>
      <c r="OO18" s="122"/>
      <c r="OP18" s="122"/>
      <c r="OQ18" s="122"/>
      <c r="OR18" s="122"/>
      <c r="OS18" s="122"/>
      <c r="OT18" s="122"/>
      <c r="OU18" s="122"/>
      <c r="OV18" s="122"/>
      <c r="OW18" s="122"/>
      <c r="OX18" s="122"/>
      <c r="OY18" s="122"/>
      <c r="OZ18" s="122"/>
      <c r="PA18" s="122"/>
      <c r="PB18" s="122"/>
      <c r="PC18" s="122"/>
      <c r="PD18" s="122"/>
      <c r="PE18" s="122"/>
      <c r="PF18" s="122"/>
      <c r="PG18" s="122"/>
      <c r="PH18" s="122"/>
      <c r="PI18" s="122"/>
      <c r="PJ18" s="122"/>
      <c r="PK18" s="122"/>
      <c r="PL18" s="122"/>
      <c r="PM18" s="122"/>
      <c r="PN18" s="122"/>
      <c r="PO18" s="122"/>
      <c r="PP18" s="122"/>
      <c r="PQ18" s="122"/>
      <c r="PR18" s="122"/>
      <c r="PS18" s="122"/>
      <c r="PT18" s="122"/>
      <c r="PU18" s="122"/>
      <c r="PV18" s="122"/>
      <c r="PW18" s="122"/>
      <c r="PX18" s="122"/>
      <c r="PY18" s="122"/>
      <c r="PZ18" s="122"/>
      <c r="QA18" s="122"/>
      <c r="QB18" s="122"/>
      <c r="QC18" s="122"/>
      <c r="QD18" s="122"/>
      <c r="QE18" s="122"/>
      <c r="QF18" s="122"/>
      <c r="QG18" s="122"/>
      <c r="QH18" s="122"/>
      <c r="QI18" s="122"/>
      <c r="QJ18" s="122"/>
      <c r="QK18" s="122"/>
      <c r="QL18" s="122"/>
      <c r="QM18" s="122"/>
      <c r="QN18" s="122"/>
      <c r="QO18" s="122"/>
      <c r="QP18" s="122"/>
      <c r="QQ18" s="122"/>
      <c r="QR18" s="122"/>
      <c r="QS18" s="122"/>
      <c r="QT18" s="122"/>
      <c r="QU18" s="122"/>
      <c r="QV18" s="122"/>
      <c r="QW18" s="122"/>
      <c r="QX18" s="122"/>
      <c r="QY18" s="122"/>
      <c r="QZ18" s="122"/>
      <c r="RA18" s="122"/>
      <c r="RB18" s="122"/>
      <c r="RC18" s="122"/>
      <c r="RD18" s="122"/>
      <c r="RE18" s="122"/>
      <c r="RF18" s="122"/>
      <c r="RG18" s="122"/>
      <c r="RH18" s="122"/>
      <c r="RI18" s="122"/>
      <c r="RJ18" s="122"/>
      <c r="RK18" s="122"/>
      <c r="RL18" s="122"/>
      <c r="RM18" s="122"/>
      <c r="RN18" s="122"/>
      <c r="RO18" s="122"/>
      <c r="RP18" s="122"/>
      <c r="RQ18" s="122"/>
      <c r="RR18" s="122"/>
      <c r="RS18" s="122"/>
      <c r="RT18" s="122"/>
      <c r="RU18" s="122"/>
      <c r="RV18" s="122"/>
      <c r="RW18" s="122"/>
      <c r="RX18" s="122"/>
      <c r="RY18" s="122"/>
      <c r="RZ18" s="122"/>
      <c r="SA18" s="122"/>
      <c r="SB18" s="122"/>
      <c r="SC18" s="122"/>
      <c r="SD18" s="122"/>
      <c r="SE18" s="122"/>
      <c r="SF18" s="122"/>
    </row>
    <row r="19" spans="1:500" s="657" customFormat="1" ht="30.25" customHeight="1" x14ac:dyDescent="0.25">
      <c r="A19" s="593" t="s">
        <v>2993</v>
      </c>
      <c r="B19" s="593" t="s">
        <v>3425</v>
      </c>
      <c r="C19" s="594" t="str">
        <f>CONCATENATE(A19," ",B19)</f>
        <v>Audi e-tron Sportback S line 
(50 quattro)</v>
      </c>
      <c r="D19" s="593" t="s">
        <v>2741</v>
      </c>
      <c r="E19" s="593">
        <v>230</v>
      </c>
      <c r="F19" s="593" t="s">
        <v>2521</v>
      </c>
      <c r="G19" s="642">
        <v>23.3</v>
      </c>
      <c r="H19" s="593"/>
      <c r="I19" s="593">
        <v>0</v>
      </c>
      <c r="J19" s="595"/>
      <c r="K19" s="595"/>
      <c r="L19" s="595">
        <v>74300</v>
      </c>
      <c r="M19" s="596"/>
      <c r="N19" s="643" t="s">
        <v>2875</v>
      </c>
      <c r="O19" s="656"/>
      <c r="P19" s="601"/>
      <c r="Q19" s="603"/>
      <c r="R19" s="603"/>
      <c r="S19" s="603"/>
      <c r="T19" s="603"/>
      <c r="U19" s="603"/>
      <c r="V19" s="603"/>
      <c r="W19" s="603"/>
      <c r="X19" s="603"/>
      <c r="Y19" s="603"/>
      <c r="Z19" s="603"/>
      <c r="AA19" s="603"/>
      <c r="AB19" s="603"/>
      <c r="AC19" s="603"/>
      <c r="AD19" s="603"/>
      <c r="AE19" s="611"/>
      <c r="AF19" s="611"/>
      <c r="AG19" s="119"/>
      <c r="AH19" s="119"/>
      <c r="AI19" s="119"/>
      <c r="AJ19" s="119"/>
      <c r="AK19" s="119"/>
      <c r="AL19" s="119"/>
      <c r="AM19" s="119"/>
      <c r="AN19" s="119"/>
      <c r="AO19" s="119"/>
      <c r="AP19" s="119"/>
      <c r="AQ19" s="119"/>
      <c r="AR19" s="119"/>
      <c r="AS19" s="119"/>
      <c r="AT19" s="119"/>
      <c r="AU19" s="119"/>
      <c r="AV19" s="119"/>
      <c r="AW19" s="119"/>
      <c r="AX19" s="120"/>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122"/>
      <c r="FX19" s="122"/>
      <c r="FY19" s="122"/>
      <c r="FZ19" s="122"/>
      <c r="GA19" s="122"/>
      <c r="GB19" s="122"/>
      <c r="GC19" s="122"/>
      <c r="GD19" s="122"/>
      <c r="GE19" s="122"/>
      <c r="GF19" s="122"/>
      <c r="GG19" s="122"/>
      <c r="GH19" s="122"/>
      <c r="GI19" s="122"/>
      <c r="GJ19" s="122"/>
      <c r="GK19" s="122"/>
      <c r="GL19" s="122"/>
      <c r="GM19" s="122"/>
      <c r="GN19" s="122"/>
      <c r="GO19" s="122"/>
      <c r="GP19" s="122"/>
      <c r="GQ19" s="122"/>
      <c r="GR19" s="122"/>
      <c r="GS19" s="122"/>
      <c r="GT19" s="122"/>
      <c r="GU19" s="122"/>
      <c r="GV19" s="122"/>
      <c r="GW19" s="122"/>
      <c r="GX19" s="122"/>
      <c r="GY19" s="122"/>
      <c r="GZ19" s="122"/>
      <c r="HA19" s="122"/>
      <c r="HB19" s="122"/>
      <c r="HC19" s="122"/>
      <c r="HD19" s="122"/>
      <c r="HE19" s="122"/>
      <c r="HF19" s="122"/>
      <c r="HG19" s="122"/>
      <c r="HH19" s="122"/>
      <c r="HI19" s="122"/>
      <c r="HJ19" s="122"/>
      <c r="HK19" s="122"/>
      <c r="HL19" s="122"/>
      <c r="HM19" s="122"/>
      <c r="HN19" s="122"/>
      <c r="HO19" s="122"/>
      <c r="HP19" s="122"/>
      <c r="HQ19" s="122"/>
      <c r="HR19" s="122"/>
      <c r="HS19" s="122"/>
      <c r="HT19" s="122"/>
      <c r="HU19" s="122"/>
      <c r="HV19" s="122"/>
      <c r="HW19" s="122"/>
      <c r="HX19" s="122"/>
      <c r="HY19" s="122"/>
      <c r="HZ19" s="122"/>
      <c r="IA19" s="122"/>
      <c r="IB19" s="122"/>
      <c r="IC19" s="122"/>
      <c r="ID19" s="122"/>
      <c r="IE19" s="122"/>
      <c r="IF19" s="122"/>
      <c r="IG19" s="122"/>
      <c r="IH19" s="122"/>
      <c r="II19" s="122"/>
      <c r="IJ19" s="122"/>
      <c r="IK19" s="122"/>
      <c r="IL19" s="122"/>
      <c r="IM19" s="122"/>
      <c r="IN19" s="122"/>
      <c r="IO19" s="122"/>
      <c r="IP19" s="122"/>
      <c r="IQ19" s="122"/>
      <c r="IR19" s="122"/>
      <c r="IS19" s="122"/>
      <c r="IT19" s="122"/>
      <c r="IU19" s="122"/>
      <c r="IV19" s="122"/>
      <c r="IW19" s="122"/>
      <c r="IX19" s="122"/>
      <c r="IY19" s="122"/>
      <c r="IZ19" s="122"/>
      <c r="JA19" s="122"/>
      <c r="JB19" s="122"/>
      <c r="JC19" s="122"/>
      <c r="JD19" s="122"/>
      <c r="JE19" s="122"/>
      <c r="JF19" s="122"/>
      <c r="JG19" s="122"/>
      <c r="JH19" s="122"/>
      <c r="JI19" s="122"/>
      <c r="JJ19" s="122"/>
      <c r="JK19" s="122"/>
      <c r="JL19" s="122"/>
      <c r="JM19" s="122"/>
      <c r="JN19" s="122"/>
      <c r="JO19" s="122"/>
      <c r="JP19" s="122"/>
      <c r="JQ19" s="122"/>
      <c r="JR19" s="122"/>
      <c r="JS19" s="122"/>
      <c r="JT19" s="122"/>
      <c r="JU19" s="122"/>
      <c r="JV19" s="122"/>
      <c r="JW19" s="122"/>
      <c r="JX19" s="122"/>
      <c r="JY19" s="122"/>
      <c r="JZ19" s="122"/>
      <c r="KA19" s="122"/>
      <c r="KB19" s="122"/>
      <c r="KC19" s="122"/>
      <c r="KD19" s="122"/>
      <c r="KE19" s="122"/>
      <c r="KF19" s="122"/>
      <c r="KG19" s="122"/>
      <c r="KH19" s="122"/>
      <c r="KI19" s="122"/>
      <c r="KJ19" s="122"/>
      <c r="KK19" s="122"/>
      <c r="KL19" s="122"/>
      <c r="KM19" s="122"/>
      <c r="KN19" s="122"/>
      <c r="KO19" s="122"/>
      <c r="KP19" s="122"/>
      <c r="KQ19" s="122"/>
      <c r="KR19" s="122"/>
      <c r="KS19" s="122"/>
      <c r="KT19" s="122"/>
      <c r="KU19" s="122"/>
      <c r="KV19" s="122"/>
      <c r="KW19" s="122"/>
      <c r="KX19" s="122"/>
      <c r="KY19" s="122"/>
      <c r="KZ19" s="122"/>
      <c r="LA19" s="122"/>
      <c r="LB19" s="122"/>
      <c r="LC19" s="122"/>
      <c r="LD19" s="122"/>
      <c r="LE19" s="122"/>
      <c r="LF19" s="122"/>
      <c r="LG19" s="122"/>
      <c r="LH19" s="122"/>
      <c r="LI19" s="122"/>
      <c r="LJ19" s="122"/>
      <c r="LK19" s="122"/>
      <c r="LL19" s="122"/>
      <c r="LM19" s="122"/>
      <c r="LN19" s="122"/>
      <c r="LO19" s="122"/>
      <c r="LP19" s="122"/>
      <c r="LQ19" s="122"/>
      <c r="LR19" s="122"/>
      <c r="LS19" s="122"/>
      <c r="LT19" s="122"/>
      <c r="LU19" s="122"/>
      <c r="LV19" s="122"/>
      <c r="LW19" s="122"/>
      <c r="LX19" s="122"/>
      <c r="LY19" s="122"/>
      <c r="LZ19" s="122"/>
      <c r="MA19" s="122"/>
      <c r="MB19" s="122"/>
      <c r="MC19" s="122"/>
      <c r="MD19" s="122"/>
      <c r="ME19" s="122"/>
      <c r="MF19" s="122"/>
      <c r="MG19" s="122"/>
      <c r="MH19" s="122"/>
      <c r="MI19" s="122"/>
      <c r="MJ19" s="122"/>
      <c r="MK19" s="122"/>
      <c r="ML19" s="122"/>
      <c r="MM19" s="122"/>
      <c r="MN19" s="122"/>
      <c r="MO19" s="122"/>
      <c r="MP19" s="122"/>
      <c r="MQ19" s="122"/>
      <c r="MR19" s="122"/>
      <c r="MS19" s="122"/>
      <c r="MT19" s="122"/>
      <c r="MU19" s="122"/>
      <c r="MV19" s="122"/>
      <c r="MW19" s="122"/>
      <c r="MX19" s="122"/>
      <c r="MY19" s="122"/>
      <c r="MZ19" s="122"/>
      <c r="NA19" s="122"/>
      <c r="NB19" s="122"/>
      <c r="NC19" s="122"/>
      <c r="ND19" s="122"/>
      <c r="NE19" s="122"/>
      <c r="NF19" s="122"/>
      <c r="NG19" s="122"/>
      <c r="NH19" s="122"/>
      <c r="NI19" s="122"/>
      <c r="NJ19" s="122"/>
      <c r="NK19" s="122"/>
      <c r="NL19" s="122"/>
      <c r="NM19" s="122"/>
      <c r="NN19" s="122"/>
      <c r="NO19" s="122"/>
      <c r="NP19" s="122"/>
      <c r="NQ19" s="122"/>
      <c r="NR19" s="122"/>
      <c r="NS19" s="122"/>
      <c r="NT19" s="122"/>
      <c r="NU19" s="122"/>
      <c r="NV19" s="122"/>
      <c r="NW19" s="122"/>
      <c r="NX19" s="122"/>
      <c r="NY19" s="122"/>
      <c r="NZ19" s="122"/>
      <c r="OA19" s="122"/>
      <c r="OB19" s="122"/>
      <c r="OC19" s="122"/>
      <c r="OD19" s="122"/>
      <c r="OE19" s="122"/>
      <c r="OF19" s="122"/>
      <c r="OG19" s="122"/>
      <c r="OH19" s="122"/>
      <c r="OI19" s="122"/>
      <c r="OJ19" s="122"/>
      <c r="OK19" s="122"/>
      <c r="OL19" s="122"/>
      <c r="OM19" s="122"/>
      <c r="ON19" s="122"/>
      <c r="OO19" s="122"/>
      <c r="OP19" s="122"/>
      <c r="OQ19" s="122"/>
      <c r="OR19" s="122"/>
      <c r="OS19" s="122"/>
      <c r="OT19" s="122"/>
      <c r="OU19" s="122"/>
      <c r="OV19" s="122"/>
      <c r="OW19" s="122"/>
      <c r="OX19" s="122"/>
      <c r="OY19" s="122"/>
      <c r="OZ19" s="122"/>
      <c r="PA19" s="122"/>
      <c r="PB19" s="122"/>
      <c r="PC19" s="122"/>
      <c r="PD19" s="122"/>
      <c r="PE19" s="122"/>
      <c r="PF19" s="122"/>
      <c r="PG19" s="122"/>
      <c r="PH19" s="122"/>
      <c r="PI19" s="122"/>
      <c r="PJ19" s="122"/>
      <c r="PK19" s="122"/>
      <c r="PL19" s="122"/>
      <c r="PM19" s="122"/>
      <c r="PN19" s="122"/>
      <c r="PO19" s="122"/>
      <c r="PP19" s="122"/>
      <c r="PQ19" s="122"/>
      <c r="PR19" s="122"/>
      <c r="PS19" s="122"/>
      <c r="PT19" s="122"/>
      <c r="PU19" s="122"/>
      <c r="PV19" s="122"/>
      <c r="PW19" s="122"/>
      <c r="PX19" s="122"/>
      <c r="PY19" s="122"/>
      <c r="PZ19" s="122"/>
      <c r="QA19" s="122"/>
      <c r="QB19" s="122"/>
      <c r="QC19" s="122"/>
      <c r="QD19" s="122"/>
      <c r="QE19" s="122"/>
      <c r="QF19" s="122"/>
      <c r="QG19" s="122"/>
      <c r="QH19" s="122"/>
      <c r="QI19" s="122"/>
      <c r="QJ19" s="122"/>
      <c r="QK19" s="122"/>
      <c r="QL19" s="122"/>
      <c r="QM19" s="122"/>
      <c r="QN19" s="122"/>
      <c r="QO19" s="122"/>
      <c r="QP19" s="122"/>
      <c r="QQ19" s="122"/>
      <c r="QR19" s="122"/>
      <c r="QS19" s="122"/>
      <c r="QT19" s="122"/>
      <c r="QU19" s="122"/>
      <c r="QV19" s="122"/>
      <c r="QW19" s="122"/>
      <c r="QX19" s="122"/>
      <c r="QY19" s="122"/>
      <c r="QZ19" s="122"/>
      <c r="RA19" s="122"/>
      <c r="RB19" s="122"/>
      <c r="RC19" s="122"/>
      <c r="RD19" s="122"/>
      <c r="RE19" s="122"/>
      <c r="RF19" s="122"/>
      <c r="RG19" s="122"/>
      <c r="RH19" s="122"/>
      <c r="RI19" s="122"/>
      <c r="RJ19" s="122"/>
      <c r="RK19" s="122"/>
      <c r="RL19" s="122"/>
      <c r="RM19" s="122"/>
      <c r="RN19" s="122"/>
      <c r="RO19" s="122"/>
      <c r="RP19" s="122"/>
      <c r="RQ19" s="122"/>
      <c r="RR19" s="122"/>
      <c r="RS19" s="122"/>
      <c r="RT19" s="122"/>
      <c r="RU19" s="122"/>
      <c r="RV19" s="122"/>
      <c r="RW19" s="122"/>
      <c r="RX19" s="122"/>
      <c r="RY19" s="122"/>
      <c r="RZ19" s="122"/>
      <c r="SA19" s="122"/>
      <c r="SB19" s="122"/>
      <c r="SC19" s="122"/>
      <c r="SD19" s="122"/>
      <c r="SE19" s="122"/>
      <c r="SF19" s="122"/>
    </row>
    <row r="20" spans="1:500" s="657" customFormat="1" ht="30.25" customHeight="1" x14ac:dyDescent="0.25">
      <c r="A20" s="593" t="s">
        <v>2993</v>
      </c>
      <c r="B20" s="593" t="s">
        <v>3426</v>
      </c>
      <c r="C20" s="594" t="str">
        <f t="shared" si="0"/>
        <v>Audi e-tron Sportback S line
(55 quattro)</v>
      </c>
      <c r="D20" s="593" t="s">
        <v>2741</v>
      </c>
      <c r="E20" s="593">
        <v>300</v>
      </c>
      <c r="F20" s="593" t="s">
        <v>2521</v>
      </c>
      <c r="G20" s="642">
        <v>23.8</v>
      </c>
      <c r="H20" s="593"/>
      <c r="I20" s="593">
        <v>0</v>
      </c>
      <c r="J20" s="595"/>
      <c r="K20" s="595"/>
      <c r="L20" s="595">
        <v>86700</v>
      </c>
      <c r="M20" s="596"/>
      <c r="N20" s="643" t="s">
        <v>2875</v>
      </c>
      <c r="O20" s="656"/>
      <c r="P20" s="601"/>
      <c r="Q20" s="603"/>
      <c r="R20" s="603"/>
      <c r="S20" s="603"/>
      <c r="T20" s="603"/>
      <c r="U20" s="603"/>
      <c r="V20" s="603"/>
      <c r="W20" s="603"/>
      <c r="X20" s="603"/>
      <c r="Y20" s="603"/>
      <c r="Z20" s="603"/>
      <c r="AA20" s="603"/>
      <c r="AB20" s="603"/>
      <c r="AC20" s="603"/>
      <c r="AD20" s="603"/>
      <c r="AE20" s="611"/>
      <c r="AF20" s="611"/>
      <c r="AG20" s="119"/>
      <c r="AH20" s="119"/>
      <c r="AI20" s="119"/>
      <c r="AJ20" s="119"/>
      <c r="AK20" s="119"/>
      <c r="AL20" s="119"/>
      <c r="AM20" s="119"/>
      <c r="AN20" s="119"/>
      <c r="AO20" s="119"/>
      <c r="AP20" s="119"/>
      <c r="AQ20" s="119"/>
      <c r="AR20" s="119"/>
      <c r="AS20" s="119"/>
      <c r="AT20" s="119"/>
      <c r="AU20" s="119"/>
      <c r="AV20" s="119"/>
      <c r="AW20" s="119"/>
      <c r="AX20" s="120"/>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c r="FA20" s="122"/>
      <c r="FB20" s="122"/>
      <c r="FC20" s="122"/>
      <c r="FD20" s="122"/>
      <c r="FE20" s="122"/>
      <c r="FF20" s="122"/>
      <c r="FG20" s="122"/>
      <c r="FH20" s="122"/>
      <c r="FI20" s="122"/>
      <c r="FJ20" s="122"/>
      <c r="FK20" s="122"/>
      <c r="FL20" s="122"/>
      <c r="FM20" s="122"/>
      <c r="FN20" s="122"/>
      <c r="FO20" s="122"/>
      <c r="FP20" s="122"/>
      <c r="FQ20" s="122"/>
      <c r="FR20" s="122"/>
      <c r="FS20" s="122"/>
      <c r="FT20" s="122"/>
      <c r="FU20" s="122"/>
      <c r="FV20" s="122"/>
      <c r="FW20" s="122"/>
      <c r="FX20" s="122"/>
      <c r="FY20" s="122"/>
      <c r="FZ20" s="122"/>
      <c r="GA20" s="122"/>
      <c r="GB20" s="122"/>
      <c r="GC20" s="122"/>
      <c r="GD20" s="122"/>
      <c r="GE20" s="122"/>
      <c r="GF20" s="122"/>
      <c r="GG20" s="122"/>
      <c r="GH20" s="122"/>
      <c r="GI20" s="122"/>
      <c r="GJ20" s="122"/>
      <c r="GK20" s="122"/>
      <c r="GL20" s="122"/>
      <c r="GM20" s="122"/>
      <c r="GN20" s="122"/>
      <c r="GO20" s="122"/>
      <c r="GP20" s="122"/>
      <c r="GQ20" s="122"/>
      <c r="GR20" s="122"/>
      <c r="GS20" s="122"/>
      <c r="GT20" s="122"/>
      <c r="GU20" s="122"/>
      <c r="GV20" s="122"/>
      <c r="GW20" s="122"/>
      <c r="GX20" s="122"/>
      <c r="GY20" s="122"/>
      <c r="GZ20" s="122"/>
      <c r="HA20" s="122"/>
      <c r="HB20" s="122"/>
      <c r="HC20" s="122"/>
      <c r="HD20" s="122"/>
      <c r="HE20" s="122"/>
      <c r="HF20" s="122"/>
      <c r="HG20" s="122"/>
      <c r="HH20" s="122"/>
      <c r="HI20" s="122"/>
      <c r="HJ20" s="122"/>
      <c r="HK20" s="122"/>
      <c r="HL20" s="122"/>
      <c r="HM20" s="122"/>
      <c r="HN20" s="122"/>
      <c r="HO20" s="122"/>
      <c r="HP20" s="122"/>
      <c r="HQ20" s="122"/>
      <c r="HR20" s="122"/>
      <c r="HS20" s="122"/>
      <c r="HT20" s="122"/>
      <c r="HU20" s="122"/>
      <c r="HV20" s="122"/>
      <c r="HW20" s="122"/>
      <c r="HX20" s="122"/>
      <c r="HY20" s="122"/>
      <c r="HZ20" s="122"/>
      <c r="IA20" s="122"/>
      <c r="IB20" s="122"/>
      <c r="IC20" s="122"/>
      <c r="ID20" s="122"/>
      <c r="IE20" s="122"/>
      <c r="IF20" s="122"/>
      <c r="IG20" s="122"/>
      <c r="IH20" s="122"/>
      <c r="II20" s="122"/>
      <c r="IJ20" s="122"/>
      <c r="IK20" s="122"/>
      <c r="IL20" s="122"/>
      <c r="IM20" s="122"/>
      <c r="IN20" s="122"/>
      <c r="IO20" s="122"/>
      <c r="IP20" s="122"/>
      <c r="IQ20" s="122"/>
      <c r="IR20" s="122"/>
      <c r="IS20" s="122"/>
      <c r="IT20" s="122"/>
      <c r="IU20" s="122"/>
      <c r="IV20" s="122"/>
      <c r="IW20" s="122"/>
      <c r="IX20" s="122"/>
      <c r="IY20" s="122"/>
      <c r="IZ20" s="122"/>
      <c r="JA20" s="122"/>
      <c r="JB20" s="122"/>
      <c r="JC20" s="122"/>
      <c r="JD20" s="122"/>
      <c r="JE20" s="122"/>
      <c r="JF20" s="122"/>
      <c r="JG20" s="122"/>
      <c r="JH20" s="122"/>
      <c r="JI20" s="122"/>
      <c r="JJ20" s="122"/>
      <c r="JK20" s="122"/>
      <c r="JL20" s="122"/>
      <c r="JM20" s="122"/>
      <c r="JN20" s="122"/>
      <c r="JO20" s="122"/>
      <c r="JP20" s="122"/>
      <c r="JQ20" s="122"/>
      <c r="JR20" s="122"/>
      <c r="JS20" s="122"/>
      <c r="JT20" s="122"/>
      <c r="JU20" s="122"/>
      <c r="JV20" s="122"/>
      <c r="JW20" s="122"/>
      <c r="JX20" s="122"/>
      <c r="JY20" s="122"/>
      <c r="JZ20" s="122"/>
      <c r="KA20" s="122"/>
      <c r="KB20" s="122"/>
      <c r="KC20" s="122"/>
      <c r="KD20" s="122"/>
      <c r="KE20" s="122"/>
      <c r="KF20" s="122"/>
      <c r="KG20" s="122"/>
      <c r="KH20" s="122"/>
      <c r="KI20" s="122"/>
      <c r="KJ20" s="122"/>
      <c r="KK20" s="122"/>
      <c r="KL20" s="122"/>
      <c r="KM20" s="122"/>
      <c r="KN20" s="122"/>
      <c r="KO20" s="122"/>
      <c r="KP20" s="122"/>
      <c r="KQ20" s="122"/>
      <c r="KR20" s="122"/>
      <c r="KS20" s="122"/>
      <c r="KT20" s="122"/>
      <c r="KU20" s="122"/>
      <c r="KV20" s="122"/>
      <c r="KW20" s="122"/>
      <c r="KX20" s="122"/>
      <c r="KY20" s="122"/>
      <c r="KZ20" s="122"/>
      <c r="LA20" s="122"/>
      <c r="LB20" s="122"/>
      <c r="LC20" s="122"/>
      <c r="LD20" s="122"/>
      <c r="LE20" s="122"/>
      <c r="LF20" s="122"/>
      <c r="LG20" s="122"/>
      <c r="LH20" s="122"/>
      <c r="LI20" s="122"/>
      <c r="LJ20" s="122"/>
      <c r="LK20" s="122"/>
      <c r="LL20" s="122"/>
      <c r="LM20" s="122"/>
      <c r="LN20" s="122"/>
      <c r="LO20" s="122"/>
      <c r="LP20" s="122"/>
      <c r="LQ20" s="122"/>
      <c r="LR20" s="122"/>
      <c r="LS20" s="122"/>
      <c r="LT20" s="122"/>
      <c r="LU20" s="122"/>
      <c r="LV20" s="122"/>
      <c r="LW20" s="122"/>
      <c r="LX20" s="122"/>
      <c r="LY20" s="122"/>
      <c r="LZ20" s="122"/>
      <c r="MA20" s="122"/>
      <c r="MB20" s="122"/>
      <c r="MC20" s="122"/>
      <c r="MD20" s="122"/>
      <c r="ME20" s="122"/>
      <c r="MF20" s="122"/>
      <c r="MG20" s="122"/>
      <c r="MH20" s="122"/>
      <c r="MI20" s="122"/>
      <c r="MJ20" s="122"/>
      <c r="MK20" s="122"/>
      <c r="ML20" s="122"/>
      <c r="MM20" s="122"/>
      <c r="MN20" s="122"/>
      <c r="MO20" s="122"/>
      <c r="MP20" s="122"/>
      <c r="MQ20" s="122"/>
      <c r="MR20" s="122"/>
      <c r="MS20" s="122"/>
      <c r="MT20" s="122"/>
      <c r="MU20" s="122"/>
      <c r="MV20" s="122"/>
      <c r="MW20" s="122"/>
      <c r="MX20" s="122"/>
      <c r="MY20" s="122"/>
      <c r="MZ20" s="122"/>
      <c r="NA20" s="122"/>
      <c r="NB20" s="122"/>
      <c r="NC20" s="122"/>
      <c r="ND20" s="122"/>
      <c r="NE20" s="122"/>
      <c r="NF20" s="122"/>
      <c r="NG20" s="122"/>
      <c r="NH20" s="122"/>
      <c r="NI20" s="122"/>
      <c r="NJ20" s="122"/>
      <c r="NK20" s="122"/>
      <c r="NL20" s="122"/>
      <c r="NM20" s="122"/>
      <c r="NN20" s="122"/>
      <c r="NO20" s="122"/>
      <c r="NP20" s="122"/>
      <c r="NQ20" s="122"/>
      <c r="NR20" s="122"/>
      <c r="NS20" s="122"/>
      <c r="NT20" s="122"/>
      <c r="NU20" s="122"/>
      <c r="NV20" s="122"/>
      <c r="NW20" s="122"/>
      <c r="NX20" s="122"/>
      <c r="NY20" s="122"/>
      <c r="NZ20" s="122"/>
      <c r="OA20" s="122"/>
      <c r="OB20" s="122"/>
      <c r="OC20" s="122"/>
      <c r="OD20" s="122"/>
      <c r="OE20" s="122"/>
      <c r="OF20" s="122"/>
      <c r="OG20" s="122"/>
      <c r="OH20" s="122"/>
      <c r="OI20" s="122"/>
      <c r="OJ20" s="122"/>
      <c r="OK20" s="122"/>
      <c r="OL20" s="122"/>
      <c r="OM20" s="122"/>
      <c r="ON20" s="122"/>
      <c r="OO20" s="122"/>
      <c r="OP20" s="122"/>
      <c r="OQ20" s="122"/>
      <c r="OR20" s="122"/>
      <c r="OS20" s="122"/>
      <c r="OT20" s="122"/>
      <c r="OU20" s="122"/>
      <c r="OV20" s="122"/>
      <c r="OW20" s="122"/>
      <c r="OX20" s="122"/>
      <c r="OY20" s="122"/>
      <c r="OZ20" s="122"/>
      <c r="PA20" s="122"/>
      <c r="PB20" s="122"/>
      <c r="PC20" s="122"/>
      <c r="PD20" s="122"/>
      <c r="PE20" s="122"/>
      <c r="PF20" s="122"/>
      <c r="PG20" s="122"/>
      <c r="PH20" s="122"/>
      <c r="PI20" s="122"/>
      <c r="PJ20" s="122"/>
      <c r="PK20" s="122"/>
      <c r="PL20" s="122"/>
      <c r="PM20" s="122"/>
      <c r="PN20" s="122"/>
      <c r="PO20" s="122"/>
      <c r="PP20" s="122"/>
      <c r="PQ20" s="122"/>
      <c r="PR20" s="122"/>
      <c r="PS20" s="122"/>
      <c r="PT20" s="122"/>
      <c r="PU20" s="122"/>
      <c r="PV20" s="122"/>
      <c r="PW20" s="122"/>
      <c r="PX20" s="122"/>
      <c r="PY20" s="122"/>
      <c r="PZ20" s="122"/>
      <c r="QA20" s="122"/>
      <c r="QB20" s="122"/>
      <c r="QC20" s="122"/>
      <c r="QD20" s="122"/>
      <c r="QE20" s="122"/>
      <c r="QF20" s="122"/>
      <c r="QG20" s="122"/>
      <c r="QH20" s="122"/>
      <c r="QI20" s="122"/>
      <c r="QJ20" s="122"/>
      <c r="QK20" s="122"/>
      <c r="QL20" s="122"/>
      <c r="QM20" s="122"/>
      <c r="QN20" s="122"/>
      <c r="QO20" s="122"/>
      <c r="QP20" s="122"/>
      <c r="QQ20" s="122"/>
      <c r="QR20" s="122"/>
      <c r="QS20" s="122"/>
      <c r="QT20" s="122"/>
      <c r="QU20" s="122"/>
      <c r="QV20" s="122"/>
      <c r="QW20" s="122"/>
      <c r="QX20" s="122"/>
      <c r="QY20" s="122"/>
      <c r="QZ20" s="122"/>
      <c r="RA20" s="122"/>
      <c r="RB20" s="122"/>
      <c r="RC20" s="122"/>
      <c r="RD20" s="122"/>
      <c r="RE20" s="122"/>
      <c r="RF20" s="122"/>
      <c r="RG20" s="122"/>
      <c r="RH20" s="122"/>
      <c r="RI20" s="122"/>
      <c r="RJ20" s="122"/>
      <c r="RK20" s="122"/>
      <c r="RL20" s="122"/>
      <c r="RM20" s="122"/>
      <c r="RN20" s="122"/>
      <c r="RO20" s="122"/>
      <c r="RP20" s="122"/>
      <c r="RQ20" s="122"/>
      <c r="RR20" s="122"/>
      <c r="RS20" s="122"/>
      <c r="RT20" s="122"/>
      <c r="RU20" s="122"/>
      <c r="RV20" s="122"/>
      <c r="RW20" s="122"/>
      <c r="RX20" s="122"/>
      <c r="RY20" s="122"/>
      <c r="RZ20" s="122"/>
      <c r="SA20" s="122"/>
      <c r="SB20" s="122"/>
      <c r="SC20" s="122"/>
      <c r="SD20" s="122"/>
      <c r="SE20" s="122"/>
      <c r="SF20" s="122"/>
    </row>
    <row r="21" spans="1:500" s="657" customFormat="1" ht="30.25" customHeight="1" x14ac:dyDescent="0.25">
      <c r="A21" s="593" t="s">
        <v>2993</v>
      </c>
      <c r="B21" s="593" t="s">
        <v>3427</v>
      </c>
      <c r="C21" s="594" t="str">
        <f t="shared" si="0"/>
        <v xml:space="preserve">Audi e-tron S Sportback </v>
      </c>
      <c r="D21" s="593" t="s">
        <v>2741</v>
      </c>
      <c r="E21" s="593">
        <v>370</v>
      </c>
      <c r="F21" s="593" t="s">
        <v>2521</v>
      </c>
      <c r="G21" s="642">
        <v>26.9</v>
      </c>
      <c r="H21" s="593"/>
      <c r="I21" s="593">
        <v>0</v>
      </c>
      <c r="J21" s="595"/>
      <c r="K21" s="595"/>
      <c r="L21" s="595">
        <v>96050</v>
      </c>
      <c r="M21" s="596"/>
      <c r="N21" s="643" t="s">
        <v>2875</v>
      </c>
      <c r="O21" s="656"/>
      <c r="P21" s="601"/>
      <c r="Q21" s="603"/>
      <c r="R21" s="603"/>
      <c r="S21" s="603"/>
      <c r="T21" s="603"/>
      <c r="U21" s="603"/>
      <c r="V21" s="603"/>
      <c r="W21" s="603"/>
      <c r="X21" s="603"/>
      <c r="Y21" s="603"/>
      <c r="Z21" s="603"/>
      <c r="AA21" s="603"/>
      <c r="AB21" s="603"/>
      <c r="AC21" s="603"/>
      <c r="AD21" s="603"/>
      <c r="AE21" s="611"/>
      <c r="AF21" s="611"/>
      <c r="AG21" s="119"/>
      <c r="AH21" s="119"/>
      <c r="AI21" s="119"/>
      <c r="AJ21" s="119"/>
      <c r="AK21" s="119"/>
      <c r="AL21" s="119"/>
      <c r="AM21" s="119"/>
      <c r="AN21" s="119"/>
      <c r="AO21" s="119"/>
      <c r="AP21" s="119"/>
      <c r="AQ21" s="119"/>
      <c r="AR21" s="119"/>
      <c r="AS21" s="119"/>
      <c r="AT21" s="119"/>
      <c r="AU21" s="119"/>
      <c r="AV21" s="119"/>
      <c r="AW21" s="119"/>
      <c r="AX21" s="120"/>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2"/>
      <c r="EI21" s="122"/>
      <c r="EJ21" s="122"/>
      <c r="EK21" s="122"/>
      <c r="EL21" s="122"/>
      <c r="EM21" s="122"/>
      <c r="EN21" s="122"/>
      <c r="EO21" s="122"/>
      <c r="EP21" s="122"/>
      <c r="EQ21" s="122"/>
      <c r="ER21" s="122"/>
      <c r="ES21" s="122"/>
      <c r="ET21" s="122"/>
      <c r="EU21" s="122"/>
      <c r="EV21" s="122"/>
      <c r="EW21" s="122"/>
      <c r="EX21" s="122"/>
      <c r="EY21" s="122"/>
      <c r="EZ21" s="122"/>
      <c r="FA21" s="122"/>
      <c r="FB21" s="122"/>
      <c r="FC21" s="122"/>
      <c r="FD21" s="122"/>
      <c r="FE21" s="122"/>
      <c r="FF21" s="122"/>
      <c r="FG21" s="122"/>
      <c r="FH21" s="122"/>
      <c r="FI21" s="122"/>
      <c r="FJ21" s="122"/>
      <c r="FK21" s="122"/>
      <c r="FL21" s="122"/>
      <c r="FM21" s="122"/>
      <c r="FN21" s="122"/>
      <c r="FO21" s="122"/>
      <c r="FP21" s="122"/>
      <c r="FQ21" s="122"/>
      <c r="FR21" s="122"/>
      <c r="FS21" s="122"/>
      <c r="FT21" s="122"/>
      <c r="FU21" s="122"/>
      <c r="FV21" s="122"/>
      <c r="FW21" s="122"/>
      <c r="FX21" s="122"/>
      <c r="FY21" s="122"/>
      <c r="FZ21" s="122"/>
      <c r="GA21" s="122"/>
      <c r="GB21" s="122"/>
      <c r="GC21" s="122"/>
      <c r="GD21" s="122"/>
      <c r="GE21" s="122"/>
      <c r="GF21" s="122"/>
      <c r="GG21" s="122"/>
      <c r="GH21" s="122"/>
      <c r="GI21" s="122"/>
      <c r="GJ21" s="122"/>
      <c r="GK21" s="122"/>
      <c r="GL21" s="122"/>
      <c r="GM21" s="122"/>
      <c r="GN21" s="122"/>
      <c r="GO21" s="122"/>
      <c r="GP21" s="122"/>
      <c r="GQ21" s="122"/>
      <c r="GR21" s="122"/>
      <c r="GS21" s="122"/>
      <c r="GT21" s="122"/>
      <c r="GU21" s="122"/>
      <c r="GV21" s="122"/>
      <c r="GW21" s="122"/>
      <c r="GX21" s="122"/>
      <c r="GY21" s="122"/>
      <c r="GZ21" s="122"/>
      <c r="HA21" s="122"/>
      <c r="HB21" s="122"/>
      <c r="HC21" s="122"/>
      <c r="HD21" s="122"/>
      <c r="HE21" s="122"/>
      <c r="HF21" s="122"/>
      <c r="HG21" s="122"/>
      <c r="HH21" s="122"/>
      <c r="HI21" s="122"/>
      <c r="HJ21" s="122"/>
      <c r="HK21" s="122"/>
      <c r="HL21" s="122"/>
      <c r="HM21" s="122"/>
      <c r="HN21" s="122"/>
      <c r="HO21" s="122"/>
      <c r="HP21" s="122"/>
      <c r="HQ21" s="122"/>
      <c r="HR21" s="122"/>
      <c r="HS21" s="122"/>
      <c r="HT21" s="122"/>
      <c r="HU21" s="122"/>
      <c r="HV21" s="122"/>
      <c r="HW21" s="122"/>
      <c r="HX21" s="122"/>
      <c r="HY21" s="122"/>
      <c r="HZ21" s="122"/>
      <c r="IA21" s="122"/>
      <c r="IB21" s="122"/>
      <c r="IC21" s="122"/>
      <c r="ID21" s="122"/>
      <c r="IE21" s="122"/>
      <c r="IF21" s="122"/>
      <c r="IG21" s="122"/>
      <c r="IH21" s="122"/>
      <c r="II21" s="122"/>
      <c r="IJ21" s="122"/>
      <c r="IK21" s="122"/>
      <c r="IL21" s="122"/>
      <c r="IM21" s="122"/>
      <c r="IN21" s="122"/>
      <c r="IO21" s="122"/>
      <c r="IP21" s="122"/>
      <c r="IQ21" s="122"/>
      <c r="IR21" s="122"/>
      <c r="IS21" s="122"/>
      <c r="IT21" s="122"/>
      <c r="IU21" s="122"/>
      <c r="IV21" s="122"/>
      <c r="IW21" s="122"/>
      <c r="IX21" s="122"/>
      <c r="IY21" s="122"/>
      <c r="IZ21" s="122"/>
      <c r="JA21" s="122"/>
      <c r="JB21" s="122"/>
      <c r="JC21" s="122"/>
      <c r="JD21" s="122"/>
      <c r="JE21" s="122"/>
      <c r="JF21" s="122"/>
      <c r="JG21" s="122"/>
      <c r="JH21" s="122"/>
      <c r="JI21" s="122"/>
      <c r="JJ21" s="122"/>
      <c r="JK21" s="122"/>
      <c r="JL21" s="122"/>
      <c r="JM21" s="122"/>
      <c r="JN21" s="122"/>
      <c r="JO21" s="122"/>
      <c r="JP21" s="122"/>
      <c r="JQ21" s="122"/>
      <c r="JR21" s="122"/>
      <c r="JS21" s="122"/>
      <c r="JT21" s="122"/>
      <c r="JU21" s="122"/>
      <c r="JV21" s="122"/>
      <c r="JW21" s="122"/>
      <c r="JX21" s="122"/>
      <c r="JY21" s="122"/>
      <c r="JZ21" s="122"/>
      <c r="KA21" s="122"/>
      <c r="KB21" s="122"/>
      <c r="KC21" s="122"/>
      <c r="KD21" s="122"/>
      <c r="KE21" s="122"/>
      <c r="KF21" s="122"/>
      <c r="KG21" s="122"/>
      <c r="KH21" s="122"/>
      <c r="KI21" s="122"/>
      <c r="KJ21" s="122"/>
      <c r="KK21" s="122"/>
      <c r="KL21" s="122"/>
      <c r="KM21" s="122"/>
      <c r="KN21" s="122"/>
      <c r="KO21" s="122"/>
      <c r="KP21" s="122"/>
      <c r="KQ21" s="122"/>
      <c r="KR21" s="122"/>
      <c r="KS21" s="122"/>
      <c r="KT21" s="122"/>
      <c r="KU21" s="122"/>
      <c r="KV21" s="122"/>
      <c r="KW21" s="122"/>
      <c r="KX21" s="122"/>
      <c r="KY21" s="122"/>
      <c r="KZ21" s="122"/>
      <c r="LA21" s="122"/>
      <c r="LB21" s="122"/>
      <c r="LC21" s="122"/>
      <c r="LD21" s="122"/>
      <c r="LE21" s="122"/>
      <c r="LF21" s="122"/>
      <c r="LG21" s="122"/>
      <c r="LH21" s="122"/>
      <c r="LI21" s="122"/>
      <c r="LJ21" s="122"/>
      <c r="LK21" s="122"/>
      <c r="LL21" s="122"/>
      <c r="LM21" s="122"/>
      <c r="LN21" s="122"/>
      <c r="LO21" s="122"/>
      <c r="LP21" s="122"/>
      <c r="LQ21" s="122"/>
      <c r="LR21" s="122"/>
      <c r="LS21" s="122"/>
      <c r="LT21" s="122"/>
      <c r="LU21" s="122"/>
      <c r="LV21" s="122"/>
      <c r="LW21" s="122"/>
      <c r="LX21" s="122"/>
      <c r="LY21" s="122"/>
      <c r="LZ21" s="122"/>
      <c r="MA21" s="122"/>
      <c r="MB21" s="122"/>
      <c r="MC21" s="122"/>
      <c r="MD21" s="122"/>
      <c r="ME21" s="122"/>
      <c r="MF21" s="122"/>
      <c r="MG21" s="122"/>
      <c r="MH21" s="122"/>
      <c r="MI21" s="122"/>
      <c r="MJ21" s="122"/>
      <c r="MK21" s="122"/>
      <c r="ML21" s="122"/>
      <c r="MM21" s="122"/>
      <c r="MN21" s="122"/>
      <c r="MO21" s="122"/>
      <c r="MP21" s="122"/>
      <c r="MQ21" s="122"/>
      <c r="MR21" s="122"/>
      <c r="MS21" s="122"/>
      <c r="MT21" s="122"/>
      <c r="MU21" s="122"/>
      <c r="MV21" s="122"/>
      <c r="MW21" s="122"/>
      <c r="MX21" s="122"/>
      <c r="MY21" s="122"/>
      <c r="MZ21" s="122"/>
      <c r="NA21" s="122"/>
      <c r="NB21" s="122"/>
      <c r="NC21" s="122"/>
      <c r="ND21" s="122"/>
      <c r="NE21" s="122"/>
      <c r="NF21" s="122"/>
      <c r="NG21" s="122"/>
      <c r="NH21" s="122"/>
      <c r="NI21" s="122"/>
      <c r="NJ21" s="122"/>
      <c r="NK21" s="122"/>
      <c r="NL21" s="122"/>
      <c r="NM21" s="122"/>
      <c r="NN21" s="122"/>
      <c r="NO21" s="122"/>
      <c r="NP21" s="122"/>
      <c r="NQ21" s="122"/>
      <c r="NR21" s="122"/>
      <c r="NS21" s="122"/>
      <c r="NT21" s="122"/>
      <c r="NU21" s="122"/>
      <c r="NV21" s="122"/>
      <c r="NW21" s="122"/>
      <c r="NX21" s="122"/>
      <c r="NY21" s="122"/>
      <c r="NZ21" s="122"/>
      <c r="OA21" s="122"/>
      <c r="OB21" s="122"/>
      <c r="OC21" s="122"/>
      <c r="OD21" s="122"/>
      <c r="OE21" s="122"/>
      <c r="OF21" s="122"/>
      <c r="OG21" s="122"/>
      <c r="OH21" s="122"/>
      <c r="OI21" s="122"/>
      <c r="OJ21" s="122"/>
      <c r="OK21" s="122"/>
      <c r="OL21" s="122"/>
      <c r="OM21" s="122"/>
      <c r="ON21" s="122"/>
      <c r="OO21" s="122"/>
      <c r="OP21" s="122"/>
      <c r="OQ21" s="122"/>
      <c r="OR21" s="122"/>
      <c r="OS21" s="122"/>
      <c r="OT21" s="122"/>
      <c r="OU21" s="122"/>
      <c r="OV21" s="122"/>
      <c r="OW21" s="122"/>
      <c r="OX21" s="122"/>
      <c r="OY21" s="122"/>
      <c r="OZ21" s="122"/>
      <c r="PA21" s="122"/>
      <c r="PB21" s="122"/>
      <c r="PC21" s="122"/>
      <c r="PD21" s="122"/>
      <c r="PE21" s="122"/>
      <c r="PF21" s="122"/>
      <c r="PG21" s="122"/>
      <c r="PH21" s="122"/>
      <c r="PI21" s="122"/>
      <c r="PJ21" s="122"/>
      <c r="PK21" s="122"/>
      <c r="PL21" s="122"/>
      <c r="PM21" s="122"/>
      <c r="PN21" s="122"/>
      <c r="PO21" s="122"/>
      <c r="PP21" s="122"/>
      <c r="PQ21" s="122"/>
      <c r="PR21" s="122"/>
      <c r="PS21" s="122"/>
      <c r="PT21" s="122"/>
      <c r="PU21" s="122"/>
      <c r="PV21" s="122"/>
      <c r="PW21" s="122"/>
      <c r="PX21" s="122"/>
      <c r="PY21" s="122"/>
      <c r="PZ21" s="122"/>
      <c r="QA21" s="122"/>
      <c r="QB21" s="122"/>
      <c r="QC21" s="122"/>
      <c r="QD21" s="122"/>
      <c r="QE21" s="122"/>
      <c r="QF21" s="122"/>
      <c r="QG21" s="122"/>
      <c r="QH21" s="122"/>
      <c r="QI21" s="122"/>
      <c r="QJ21" s="122"/>
      <c r="QK21" s="122"/>
      <c r="QL21" s="122"/>
      <c r="QM21" s="122"/>
      <c r="QN21" s="122"/>
      <c r="QO21" s="122"/>
      <c r="QP21" s="122"/>
      <c r="QQ21" s="122"/>
      <c r="QR21" s="122"/>
      <c r="QS21" s="122"/>
      <c r="QT21" s="122"/>
      <c r="QU21" s="122"/>
      <c r="QV21" s="122"/>
      <c r="QW21" s="122"/>
      <c r="QX21" s="122"/>
      <c r="QY21" s="122"/>
      <c r="QZ21" s="122"/>
      <c r="RA21" s="122"/>
      <c r="RB21" s="122"/>
      <c r="RC21" s="122"/>
      <c r="RD21" s="122"/>
      <c r="RE21" s="122"/>
      <c r="RF21" s="122"/>
      <c r="RG21" s="122"/>
      <c r="RH21" s="122"/>
      <c r="RI21" s="122"/>
      <c r="RJ21" s="122"/>
      <c r="RK21" s="122"/>
      <c r="RL21" s="122"/>
      <c r="RM21" s="122"/>
      <c r="RN21" s="122"/>
      <c r="RO21" s="122"/>
      <c r="RP21" s="122"/>
      <c r="RQ21" s="122"/>
      <c r="RR21" s="122"/>
      <c r="RS21" s="122"/>
      <c r="RT21" s="122"/>
      <c r="RU21" s="122"/>
      <c r="RV21" s="122"/>
      <c r="RW21" s="122"/>
      <c r="RX21" s="122"/>
      <c r="RY21" s="122"/>
      <c r="RZ21" s="122"/>
      <c r="SA21" s="122"/>
      <c r="SB21" s="122"/>
      <c r="SC21" s="122"/>
      <c r="SD21" s="122"/>
      <c r="SE21" s="122"/>
      <c r="SF21" s="122"/>
    </row>
    <row r="22" spans="1:500" ht="30.25" customHeight="1" x14ac:dyDescent="0.25">
      <c r="A22" s="593" t="s">
        <v>2539</v>
      </c>
      <c r="B22" s="593" t="s">
        <v>3292</v>
      </c>
      <c r="C22" s="594" t="str">
        <f>CONCATENATE(A22," ",B22)</f>
        <v>BMW  i3 120 Ah</v>
      </c>
      <c r="D22" s="593" t="s">
        <v>2741</v>
      </c>
      <c r="E22" s="593">
        <v>125</v>
      </c>
      <c r="F22" s="593" t="s">
        <v>2521</v>
      </c>
      <c r="G22" s="642">
        <v>13.1</v>
      </c>
      <c r="H22" s="593"/>
      <c r="I22" s="593">
        <v>0</v>
      </c>
      <c r="J22" s="595">
        <v>0</v>
      </c>
      <c r="K22" s="595">
        <v>0</v>
      </c>
      <c r="L22" s="595">
        <v>39000</v>
      </c>
      <c r="M22" s="596"/>
      <c r="N22" s="643" t="s">
        <v>2875</v>
      </c>
      <c r="O22" s="575" t="s">
        <v>2973</v>
      </c>
      <c r="P22" s="601"/>
      <c r="Q22" s="603"/>
      <c r="R22" s="603"/>
      <c r="S22" s="603"/>
      <c r="T22" s="603"/>
      <c r="U22" s="603"/>
      <c r="V22" s="603"/>
      <c r="W22" s="603"/>
      <c r="X22" s="603"/>
      <c r="Y22" s="603"/>
      <c r="Z22" s="603"/>
      <c r="AA22" s="603"/>
      <c r="AB22" s="603"/>
      <c r="AC22" s="603"/>
      <c r="AD22" s="603"/>
      <c r="AE22" s="611"/>
      <c r="AF22" s="611"/>
      <c r="AG22" s="119"/>
      <c r="AH22" s="119"/>
      <c r="AI22" s="119"/>
      <c r="AJ22" s="119"/>
      <c r="AK22" s="119"/>
      <c r="AL22" s="119"/>
      <c r="AM22" s="119"/>
      <c r="AN22" s="119"/>
      <c r="AO22" s="119"/>
      <c r="AP22" s="119"/>
      <c r="AQ22" s="119"/>
      <c r="AR22" s="119"/>
      <c r="AS22" s="119"/>
      <c r="AT22" s="119"/>
      <c r="AU22" s="119"/>
      <c r="AV22" s="119"/>
      <c r="AW22" s="119"/>
      <c r="AX22" s="120"/>
    </row>
    <row r="23" spans="1:500" ht="30.25" customHeight="1" x14ac:dyDescent="0.25">
      <c r="A23" s="593" t="s">
        <v>2539</v>
      </c>
      <c r="B23" s="593" t="s">
        <v>3293</v>
      </c>
      <c r="C23" s="594" t="str">
        <f>CONCATENATE(A23," ",B23)</f>
        <v>BMW  i3 S 120 Ah</v>
      </c>
      <c r="D23" s="593" t="s">
        <v>2741</v>
      </c>
      <c r="E23" s="593">
        <v>135</v>
      </c>
      <c r="F23" s="593" t="s">
        <v>2521</v>
      </c>
      <c r="G23" s="642">
        <v>14.3</v>
      </c>
      <c r="H23" s="593"/>
      <c r="I23" s="593">
        <v>0</v>
      </c>
      <c r="J23" s="595">
        <v>0</v>
      </c>
      <c r="K23" s="595">
        <v>0</v>
      </c>
      <c r="L23" s="595">
        <v>42600</v>
      </c>
      <c r="M23" s="596"/>
      <c r="N23" s="643" t="s">
        <v>2875</v>
      </c>
      <c r="O23" s="575"/>
      <c r="P23" s="601"/>
      <c r="Q23" s="603"/>
      <c r="R23" s="603"/>
      <c r="S23" s="603"/>
      <c r="T23" s="603"/>
      <c r="U23" s="603"/>
      <c r="V23" s="603"/>
      <c r="W23" s="603"/>
      <c r="X23" s="603"/>
      <c r="Y23" s="603"/>
      <c r="Z23" s="603"/>
      <c r="AA23" s="603"/>
      <c r="AB23" s="603"/>
      <c r="AC23" s="603"/>
      <c r="AD23" s="603"/>
      <c r="AE23" s="611"/>
      <c r="AF23" s="611"/>
      <c r="AG23" s="119"/>
      <c r="AH23" s="119"/>
      <c r="AI23" s="119"/>
      <c r="AJ23" s="119"/>
      <c r="AK23" s="119"/>
      <c r="AL23" s="119"/>
      <c r="AM23" s="119"/>
      <c r="AN23" s="119"/>
      <c r="AO23" s="119"/>
      <c r="AP23" s="119"/>
      <c r="AQ23" s="119"/>
      <c r="AR23" s="119"/>
      <c r="AS23" s="119"/>
      <c r="AT23" s="119"/>
      <c r="AU23" s="119"/>
      <c r="AV23" s="119"/>
      <c r="AW23" s="119"/>
      <c r="AX23" s="120"/>
    </row>
    <row r="24" spans="1:500" s="657" customFormat="1" ht="30.25" customHeight="1" x14ac:dyDescent="0.25">
      <c r="A24" s="593" t="s">
        <v>2539</v>
      </c>
      <c r="B24" s="593" t="s">
        <v>3428</v>
      </c>
      <c r="C24" s="594" t="str">
        <f>CONCATENATE(A24," ",B24)</f>
        <v>BMW iX3 (Modell INSPIRING)</v>
      </c>
      <c r="D24" s="593" t="s">
        <v>2741</v>
      </c>
      <c r="E24" s="593">
        <v>210</v>
      </c>
      <c r="F24" s="593" t="s">
        <v>2521</v>
      </c>
      <c r="G24" s="642">
        <v>17.7</v>
      </c>
      <c r="H24" s="593"/>
      <c r="I24" s="593">
        <v>0</v>
      </c>
      <c r="J24" s="595"/>
      <c r="K24" s="595"/>
      <c r="L24" s="595">
        <v>66300</v>
      </c>
      <c r="M24" s="596"/>
      <c r="N24" s="643" t="s">
        <v>2875</v>
      </c>
      <c r="O24" s="656"/>
      <c r="P24" s="601"/>
      <c r="Q24" s="603"/>
      <c r="R24" s="603"/>
      <c r="S24" s="603"/>
      <c r="T24" s="603"/>
      <c r="U24" s="603"/>
      <c r="V24" s="603"/>
      <c r="W24" s="603"/>
      <c r="X24" s="603"/>
      <c r="Y24" s="603"/>
      <c r="Z24" s="603"/>
      <c r="AA24" s="603"/>
      <c r="AB24" s="603"/>
      <c r="AC24" s="603"/>
      <c r="AD24" s="603"/>
      <c r="AE24" s="611"/>
      <c r="AF24" s="611"/>
      <c r="AG24" s="119"/>
      <c r="AH24" s="119"/>
      <c r="AI24" s="119"/>
      <c r="AJ24" s="119"/>
      <c r="AK24" s="119"/>
      <c r="AL24" s="119"/>
      <c r="AM24" s="119"/>
      <c r="AN24" s="119"/>
      <c r="AO24" s="119"/>
      <c r="AP24" s="119"/>
      <c r="AQ24" s="119"/>
      <c r="AR24" s="119"/>
      <c r="AS24" s="119"/>
      <c r="AT24" s="119"/>
      <c r="AU24" s="119"/>
      <c r="AV24" s="119"/>
      <c r="AW24" s="119"/>
      <c r="AX24" s="120"/>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c r="CB24" s="122"/>
      <c r="CC24" s="122"/>
      <c r="CD24" s="122"/>
      <c r="CE24" s="122"/>
      <c r="CF24" s="122"/>
      <c r="CG24" s="122"/>
      <c r="CH24" s="122"/>
      <c r="CI24" s="122"/>
      <c r="CJ24" s="122"/>
      <c r="CK24" s="122"/>
      <c r="CL24" s="122"/>
      <c r="CM24" s="122"/>
      <c r="CN24" s="122"/>
      <c r="CO24" s="122"/>
      <c r="CP24" s="122"/>
      <c r="CQ24" s="122"/>
      <c r="CR24" s="122"/>
      <c r="CS24" s="122"/>
      <c r="CT24" s="122"/>
      <c r="CU24" s="122"/>
      <c r="CV24" s="122"/>
      <c r="CW24" s="122"/>
      <c r="CX24" s="122"/>
      <c r="CY24" s="122"/>
      <c r="CZ24" s="122"/>
      <c r="DA24" s="122"/>
      <c r="DB24" s="122"/>
      <c r="DC24" s="122"/>
      <c r="DD24" s="122"/>
      <c r="DE24" s="122"/>
      <c r="DF24" s="122"/>
      <c r="DG24" s="122"/>
      <c r="DH24" s="122"/>
      <c r="DI24" s="122"/>
      <c r="DJ24" s="122"/>
      <c r="DK24" s="122"/>
      <c r="DL24" s="122"/>
      <c r="DM24" s="122"/>
      <c r="DN24" s="122"/>
      <c r="DO24" s="122"/>
      <c r="DP24" s="122"/>
      <c r="DQ24" s="122"/>
      <c r="DR24" s="122"/>
      <c r="DS24" s="122"/>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122"/>
      <c r="ES24" s="122"/>
      <c r="ET24" s="122"/>
      <c r="EU24" s="122"/>
      <c r="EV24" s="122"/>
      <c r="EW24" s="122"/>
      <c r="EX24" s="122"/>
      <c r="EY24" s="122"/>
      <c r="EZ24" s="122"/>
      <c r="FA24" s="122"/>
      <c r="FB24" s="122"/>
      <c r="FC24" s="122"/>
      <c r="FD24" s="122"/>
      <c r="FE24" s="122"/>
      <c r="FF24" s="122"/>
      <c r="FG24" s="122"/>
      <c r="FH24" s="122"/>
      <c r="FI24" s="122"/>
      <c r="FJ24" s="122"/>
      <c r="FK24" s="122"/>
      <c r="FL24" s="122"/>
      <c r="FM24" s="122"/>
      <c r="FN24" s="122"/>
      <c r="FO24" s="122"/>
      <c r="FP24" s="122"/>
      <c r="FQ24" s="122"/>
      <c r="FR24" s="122"/>
      <c r="FS24" s="122"/>
      <c r="FT24" s="122"/>
      <c r="FU24" s="122"/>
      <c r="FV24" s="122"/>
      <c r="FW24" s="122"/>
      <c r="FX24" s="122"/>
      <c r="FY24" s="122"/>
      <c r="FZ24" s="122"/>
      <c r="GA24" s="122"/>
      <c r="GB24" s="122"/>
      <c r="GC24" s="122"/>
      <c r="GD24" s="122"/>
      <c r="GE24" s="122"/>
      <c r="GF24" s="122"/>
      <c r="GG24" s="122"/>
      <c r="GH24" s="122"/>
      <c r="GI24" s="122"/>
      <c r="GJ24" s="122"/>
      <c r="GK24" s="122"/>
      <c r="GL24" s="122"/>
      <c r="GM24" s="122"/>
      <c r="GN24" s="122"/>
      <c r="GO24" s="122"/>
      <c r="GP24" s="122"/>
      <c r="GQ24" s="122"/>
      <c r="GR24" s="122"/>
      <c r="GS24" s="122"/>
      <c r="GT24" s="122"/>
      <c r="GU24" s="122"/>
      <c r="GV24" s="122"/>
      <c r="GW24" s="122"/>
      <c r="GX24" s="122"/>
      <c r="GY24" s="122"/>
      <c r="GZ24" s="122"/>
      <c r="HA24" s="122"/>
      <c r="HB24" s="122"/>
      <c r="HC24" s="122"/>
      <c r="HD24" s="122"/>
      <c r="HE24" s="122"/>
      <c r="HF24" s="122"/>
      <c r="HG24" s="122"/>
      <c r="HH24" s="122"/>
      <c r="HI24" s="122"/>
      <c r="HJ24" s="122"/>
      <c r="HK24" s="122"/>
      <c r="HL24" s="122"/>
      <c r="HM24" s="122"/>
      <c r="HN24" s="122"/>
      <c r="HO24" s="122"/>
      <c r="HP24" s="122"/>
      <c r="HQ24" s="122"/>
      <c r="HR24" s="122"/>
      <c r="HS24" s="122"/>
      <c r="HT24" s="122"/>
      <c r="HU24" s="122"/>
      <c r="HV24" s="122"/>
      <c r="HW24" s="122"/>
      <c r="HX24" s="122"/>
      <c r="HY24" s="122"/>
      <c r="HZ24" s="122"/>
      <c r="IA24" s="122"/>
      <c r="IB24" s="122"/>
      <c r="IC24" s="122"/>
      <c r="ID24" s="122"/>
      <c r="IE24" s="122"/>
      <c r="IF24" s="122"/>
      <c r="IG24" s="122"/>
      <c r="IH24" s="122"/>
      <c r="II24" s="122"/>
      <c r="IJ24" s="122"/>
      <c r="IK24" s="122"/>
      <c r="IL24" s="122"/>
      <c r="IM24" s="122"/>
      <c r="IN24" s="122"/>
      <c r="IO24" s="122"/>
      <c r="IP24" s="122"/>
      <c r="IQ24" s="122"/>
      <c r="IR24" s="122"/>
      <c r="IS24" s="122"/>
      <c r="IT24" s="122"/>
      <c r="IU24" s="122"/>
      <c r="IV24" s="122"/>
      <c r="IW24" s="122"/>
      <c r="IX24" s="122"/>
      <c r="IY24" s="122"/>
      <c r="IZ24" s="122"/>
      <c r="JA24" s="122"/>
      <c r="JB24" s="122"/>
      <c r="JC24" s="122"/>
      <c r="JD24" s="122"/>
      <c r="JE24" s="122"/>
      <c r="JF24" s="122"/>
      <c r="JG24" s="122"/>
      <c r="JH24" s="122"/>
      <c r="JI24" s="122"/>
      <c r="JJ24" s="122"/>
      <c r="JK24" s="122"/>
      <c r="JL24" s="122"/>
      <c r="JM24" s="122"/>
      <c r="JN24" s="122"/>
      <c r="JO24" s="122"/>
      <c r="JP24" s="122"/>
      <c r="JQ24" s="122"/>
      <c r="JR24" s="122"/>
      <c r="JS24" s="122"/>
      <c r="JT24" s="122"/>
      <c r="JU24" s="122"/>
      <c r="JV24" s="122"/>
      <c r="JW24" s="122"/>
      <c r="JX24" s="122"/>
      <c r="JY24" s="122"/>
      <c r="JZ24" s="122"/>
      <c r="KA24" s="122"/>
      <c r="KB24" s="122"/>
      <c r="KC24" s="122"/>
      <c r="KD24" s="122"/>
      <c r="KE24" s="122"/>
      <c r="KF24" s="122"/>
      <c r="KG24" s="122"/>
      <c r="KH24" s="122"/>
      <c r="KI24" s="122"/>
      <c r="KJ24" s="122"/>
      <c r="KK24" s="122"/>
      <c r="KL24" s="122"/>
      <c r="KM24" s="122"/>
      <c r="KN24" s="122"/>
      <c r="KO24" s="122"/>
      <c r="KP24" s="122"/>
      <c r="KQ24" s="122"/>
      <c r="KR24" s="122"/>
      <c r="KS24" s="122"/>
      <c r="KT24" s="122"/>
      <c r="KU24" s="122"/>
      <c r="KV24" s="122"/>
      <c r="KW24" s="122"/>
      <c r="KX24" s="122"/>
      <c r="KY24" s="122"/>
      <c r="KZ24" s="122"/>
      <c r="LA24" s="122"/>
      <c r="LB24" s="122"/>
      <c r="LC24" s="122"/>
      <c r="LD24" s="122"/>
      <c r="LE24" s="122"/>
      <c r="LF24" s="122"/>
      <c r="LG24" s="122"/>
      <c r="LH24" s="122"/>
      <c r="LI24" s="122"/>
      <c r="LJ24" s="122"/>
      <c r="LK24" s="122"/>
      <c r="LL24" s="122"/>
      <c r="LM24" s="122"/>
      <c r="LN24" s="122"/>
      <c r="LO24" s="122"/>
      <c r="LP24" s="122"/>
      <c r="LQ24" s="122"/>
      <c r="LR24" s="122"/>
      <c r="LS24" s="122"/>
      <c r="LT24" s="122"/>
      <c r="LU24" s="122"/>
      <c r="LV24" s="122"/>
      <c r="LW24" s="122"/>
      <c r="LX24" s="122"/>
      <c r="LY24" s="122"/>
      <c r="LZ24" s="122"/>
      <c r="MA24" s="122"/>
      <c r="MB24" s="122"/>
      <c r="MC24" s="122"/>
      <c r="MD24" s="122"/>
      <c r="ME24" s="122"/>
      <c r="MF24" s="122"/>
      <c r="MG24" s="122"/>
      <c r="MH24" s="122"/>
      <c r="MI24" s="122"/>
      <c r="MJ24" s="122"/>
      <c r="MK24" s="122"/>
      <c r="ML24" s="122"/>
      <c r="MM24" s="122"/>
      <c r="MN24" s="122"/>
      <c r="MO24" s="122"/>
      <c r="MP24" s="122"/>
      <c r="MQ24" s="122"/>
      <c r="MR24" s="122"/>
      <c r="MS24" s="122"/>
      <c r="MT24" s="122"/>
      <c r="MU24" s="122"/>
      <c r="MV24" s="122"/>
      <c r="MW24" s="122"/>
      <c r="MX24" s="122"/>
      <c r="MY24" s="122"/>
      <c r="MZ24" s="122"/>
      <c r="NA24" s="122"/>
      <c r="NB24" s="122"/>
      <c r="NC24" s="122"/>
      <c r="ND24" s="122"/>
      <c r="NE24" s="122"/>
      <c r="NF24" s="122"/>
      <c r="NG24" s="122"/>
      <c r="NH24" s="122"/>
      <c r="NI24" s="122"/>
      <c r="NJ24" s="122"/>
      <c r="NK24" s="122"/>
      <c r="NL24" s="122"/>
      <c r="NM24" s="122"/>
      <c r="NN24" s="122"/>
      <c r="NO24" s="122"/>
      <c r="NP24" s="122"/>
      <c r="NQ24" s="122"/>
      <c r="NR24" s="122"/>
      <c r="NS24" s="122"/>
      <c r="NT24" s="122"/>
      <c r="NU24" s="122"/>
      <c r="NV24" s="122"/>
      <c r="NW24" s="122"/>
      <c r="NX24" s="122"/>
      <c r="NY24" s="122"/>
      <c r="NZ24" s="122"/>
      <c r="OA24" s="122"/>
      <c r="OB24" s="122"/>
      <c r="OC24" s="122"/>
      <c r="OD24" s="122"/>
      <c r="OE24" s="122"/>
      <c r="OF24" s="122"/>
      <c r="OG24" s="122"/>
      <c r="OH24" s="122"/>
      <c r="OI24" s="122"/>
      <c r="OJ24" s="122"/>
      <c r="OK24" s="122"/>
      <c r="OL24" s="122"/>
      <c r="OM24" s="122"/>
      <c r="ON24" s="122"/>
      <c r="OO24" s="122"/>
      <c r="OP24" s="122"/>
      <c r="OQ24" s="122"/>
      <c r="OR24" s="122"/>
      <c r="OS24" s="122"/>
      <c r="OT24" s="122"/>
      <c r="OU24" s="122"/>
      <c r="OV24" s="122"/>
      <c r="OW24" s="122"/>
      <c r="OX24" s="122"/>
      <c r="OY24" s="122"/>
      <c r="OZ24" s="122"/>
      <c r="PA24" s="122"/>
      <c r="PB24" s="122"/>
      <c r="PC24" s="122"/>
      <c r="PD24" s="122"/>
      <c r="PE24" s="122"/>
      <c r="PF24" s="122"/>
      <c r="PG24" s="122"/>
      <c r="PH24" s="122"/>
      <c r="PI24" s="122"/>
      <c r="PJ24" s="122"/>
      <c r="PK24" s="122"/>
      <c r="PL24" s="122"/>
      <c r="PM24" s="122"/>
      <c r="PN24" s="122"/>
      <c r="PO24" s="122"/>
      <c r="PP24" s="122"/>
      <c r="PQ24" s="122"/>
      <c r="PR24" s="122"/>
      <c r="PS24" s="122"/>
      <c r="PT24" s="122"/>
      <c r="PU24" s="122"/>
      <c r="PV24" s="122"/>
      <c r="PW24" s="122"/>
      <c r="PX24" s="122"/>
      <c r="PY24" s="122"/>
      <c r="PZ24" s="122"/>
      <c r="QA24" s="122"/>
      <c r="QB24" s="122"/>
      <c r="QC24" s="122"/>
      <c r="QD24" s="122"/>
      <c r="QE24" s="122"/>
      <c r="QF24" s="122"/>
      <c r="QG24" s="122"/>
      <c r="QH24" s="122"/>
      <c r="QI24" s="122"/>
      <c r="QJ24" s="122"/>
      <c r="QK24" s="122"/>
      <c r="QL24" s="122"/>
      <c r="QM24" s="122"/>
      <c r="QN24" s="122"/>
      <c r="QO24" s="122"/>
      <c r="QP24" s="122"/>
      <c r="QQ24" s="122"/>
      <c r="QR24" s="122"/>
      <c r="QS24" s="122"/>
      <c r="QT24" s="122"/>
      <c r="QU24" s="122"/>
      <c r="QV24" s="122"/>
      <c r="QW24" s="122"/>
      <c r="QX24" s="122"/>
      <c r="QY24" s="122"/>
      <c r="QZ24" s="122"/>
      <c r="RA24" s="122"/>
      <c r="RB24" s="122"/>
      <c r="RC24" s="122"/>
      <c r="RD24" s="122"/>
      <c r="RE24" s="122"/>
      <c r="RF24" s="122"/>
      <c r="RG24" s="122"/>
      <c r="RH24" s="122"/>
      <c r="RI24" s="122"/>
      <c r="RJ24" s="122"/>
      <c r="RK24" s="122"/>
      <c r="RL24" s="122"/>
      <c r="RM24" s="122"/>
      <c r="RN24" s="122"/>
      <c r="RO24" s="122"/>
      <c r="RP24" s="122"/>
      <c r="RQ24" s="122"/>
      <c r="RR24" s="122"/>
      <c r="RS24" s="122"/>
      <c r="RT24" s="122"/>
      <c r="RU24" s="122"/>
      <c r="RV24" s="122"/>
      <c r="RW24" s="122"/>
      <c r="RX24" s="122"/>
      <c r="RY24" s="122"/>
      <c r="RZ24" s="122"/>
      <c r="SA24" s="122"/>
      <c r="SB24" s="122"/>
      <c r="SC24" s="122"/>
      <c r="SD24" s="122"/>
      <c r="SE24" s="122"/>
      <c r="SF24" s="122"/>
    </row>
    <row r="25" spans="1:500" s="657" customFormat="1" ht="30.25" customHeight="1" x14ac:dyDescent="0.25">
      <c r="A25" s="593" t="s">
        <v>2539</v>
      </c>
      <c r="B25" s="593" t="s">
        <v>3429</v>
      </c>
      <c r="C25" s="594" t="str">
        <f>CONCATENATE(A25," ",B25)</f>
        <v>BMW iX3 (Modell IMPRESSIVE)</v>
      </c>
      <c r="D25" s="593" t="s">
        <v>2741</v>
      </c>
      <c r="E25" s="593">
        <v>210</v>
      </c>
      <c r="F25" s="593" t="s">
        <v>2521</v>
      </c>
      <c r="G25" s="642">
        <v>17.7</v>
      </c>
      <c r="H25" s="593"/>
      <c r="I25" s="593">
        <v>0</v>
      </c>
      <c r="J25" s="595"/>
      <c r="K25" s="595"/>
      <c r="L25" s="595">
        <v>71800</v>
      </c>
      <c r="M25" s="596"/>
      <c r="N25" s="643" t="s">
        <v>2875</v>
      </c>
      <c r="O25" s="656"/>
      <c r="P25" s="601"/>
      <c r="Q25" s="603"/>
      <c r="R25" s="603"/>
      <c r="S25" s="603"/>
      <c r="T25" s="603"/>
      <c r="U25" s="603"/>
      <c r="V25" s="603"/>
      <c r="W25" s="603"/>
      <c r="X25" s="603"/>
      <c r="Y25" s="603"/>
      <c r="Z25" s="603"/>
      <c r="AA25" s="603"/>
      <c r="AB25" s="603"/>
      <c r="AC25" s="603"/>
      <c r="AD25" s="603"/>
      <c r="AE25" s="611"/>
      <c r="AF25" s="611"/>
      <c r="AG25" s="119"/>
      <c r="AH25" s="119"/>
      <c r="AI25" s="119"/>
      <c r="AJ25" s="119"/>
      <c r="AK25" s="119"/>
      <c r="AL25" s="119"/>
      <c r="AM25" s="119"/>
      <c r="AN25" s="119"/>
      <c r="AO25" s="119"/>
      <c r="AP25" s="119"/>
      <c r="AQ25" s="119"/>
      <c r="AR25" s="119"/>
      <c r="AS25" s="119"/>
      <c r="AT25" s="119"/>
      <c r="AU25" s="119"/>
      <c r="AV25" s="119"/>
      <c r="AW25" s="119"/>
      <c r="AX25" s="120"/>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c r="CB25" s="122"/>
      <c r="CC25" s="122"/>
      <c r="CD25" s="122"/>
      <c r="CE25" s="122"/>
      <c r="CF25" s="122"/>
      <c r="CG25" s="122"/>
      <c r="CH25" s="122"/>
      <c r="CI25" s="122"/>
      <c r="CJ25" s="122"/>
      <c r="CK25" s="122"/>
      <c r="CL25" s="122"/>
      <c r="CM25" s="122"/>
      <c r="CN25" s="122"/>
      <c r="CO25" s="122"/>
      <c r="CP25" s="122"/>
      <c r="CQ25" s="122"/>
      <c r="CR25" s="122"/>
      <c r="CS25" s="122"/>
      <c r="CT25" s="122"/>
      <c r="CU25" s="122"/>
      <c r="CV25" s="122"/>
      <c r="CW25" s="122"/>
      <c r="CX25" s="122"/>
      <c r="CY25" s="122"/>
      <c r="CZ25" s="122"/>
      <c r="DA25" s="122"/>
      <c r="DB25" s="122"/>
      <c r="DC25" s="122"/>
      <c r="DD25" s="122"/>
      <c r="DE25" s="122"/>
      <c r="DF25" s="122"/>
      <c r="DG25" s="122"/>
      <c r="DH25" s="122"/>
      <c r="DI25" s="122"/>
      <c r="DJ25" s="122"/>
      <c r="DK25" s="122"/>
      <c r="DL25" s="122"/>
      <c r="DM25" s="122"/>
      <c r="DN25" s="122"/>
      <c r="DO25" s="122"/>
      <c r="DP25" s="122"/>
      <c r="DQ25" s="122"/>
      <c r="DR25" s="122"/>
      <c r="DS25" s="122"/>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122"/>
      <c r="ES25" s="122"/>
      <c r="ET25" s="122"/>
      <c r="EU25" s="122"/>
      <c r="EV25" s="122"/>
      <c r="EW25" s="122"/>
      <c r="EX25" s="122"/>
      <c r="EY25" s="122"/>
      <c r="EZ25" s="122"/>
      <c r="FA25" s="122"/>
      <c r="FB25" s="122"/>
      <c r="FC25" s="122"/>
      <c r="FD25" s="122"/>
      <c r="FE25" s="122"/>
      <c r="FF25" s="122"/>
      <c r="FG25" s="122"/>
      <c r="FH25" s="122"/>
      <c r="FI25" s="122"/>
      <c r="FJ25" s="122"/>
      <c r="FK25" s="122"/>
      <c r="FL25" s="122"/>
      <c r="FM25" s="122"/>
      <c r="FN25" s="122"/>
      <c r="FO25" s="122"/>
      <c r="FP25" s="122"/>
      <c r="FQ25" s="122"/>
      <c r="FR25" s="122"/>
      <c r="FS25" s="122"/>
      <c r="FT25" s="122"/>
      <c r="FU25" s="122"/>
      <c r="FV25" s="122"/>
      <c r="FW25" s="122"/>
      <c r="FX25" s="122"/>
      <c r="FY25" s="122"/>
      <c r="FZ25" s="122"/>
      <c r="GA25" s="122"/>
      <c r="GB25" s="122"/>
      <c r="GC25" s="122"/>
      <c r="GD25" s="122"/>
      <c r="GE25" s="122"/>
      <c r="GF25" s="122"/>
      <c r="GG25" s="122"/>
      <c r="GH25" s="122"/>
      <c r="GI25" s="122"/>
      <c r="GJ25" s="122"/>
      <c r="GK25" s="122"/>
      <c r="GL25" s="122"/>
      <c r="GM25" s="122"/>
      <c r="GN25" s="122"/>
      <c r="GO25" s="122"/>
      <c r="GP25" s="122"/>
      <c r="GQ25" s="122"/>
      <c r="GR25" s="122"/>
      <c r="GS25" s="122"/>
      <c r="GT25" s="122"/>
      <c r="GU25" s="122"/>
      <c r="GV25" s="122"/>
      <c r="GW25" s="122"/>
      <c r="GX25" s="122"/>
      <c r="GY25" s="122"/>
      <c r="GZ25" s="122"/>
      <c r="HA25" s="122"/>
      <c r="HB25" s="122"/>
      <c r="HC25" s="122"/>
      <c r="HD25" s="122"/>
      <c r="HE25" s="122"/>
      <c r="HF25" s="122"/>
      <c r="HG25" s="122"/>
      <c r="HH25" s="122"/>
      <c r="HI25" s="122"/>
      <c r="HJ25" s="122"/>
      <c r="HK25" s="122"/>
      <c r="HL25" s="122"/>
      <c r="HM25" s="122"/>
      <c r="HN25" s="122"/>
      <c r="HO25" s="122"/>
      <c r="HP25" s="122"/>
      <c r="HQ25" s="122"/>
      <c r="HR25" s="122"/>
      <c r="HS25" s="122"/>
      <c r="HT25" s="122"/>
      <c r="HU25" s="122"/>
      <c r="HV25" s="122"/>
      <c r="HW25" s="122"/>
      <c r="HX25" s="122"/>
      <c r="HY25" s="122"/>
      <c r="HZ25" s="122"/>
      <c r="IA25" s="122"/>
      <c r="IB25" s="122"/>
      <c r="IC25" s="122"/>
      <c r="ID25" s="122"/>
      <c r="IE25" s="122"/>
      <c r="IF25" s="122"/>
      <c r="IG25" s="122"/>
      <c r="IH25" s="122"/>
      <c r="II25" s="122"/>
      <c r="IJ25" s="122"/>
      <c r="IK25" s="122"/>
      <c r="IL25" s="122"/>
      <c r="IM25" s="122"/>
      <c r="IN25" s="122"/>
      <c r="IO25" s="122"/>
      <c r="IP25" s="122"/>
      <c r="IQ25" s="122"/>
      <c r="IR25" s="122"/>
      <c r="IS25" s="122"/>
      <c r="IT25" s="122"/>
      <c r="IU25" s="122"/>
      <c r="IV25" s="122"/>
      <c r="IW25" s="122"/>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c r="JT25" s="122"/>
      <c r="JU25" s="122"/>
      <c r="JV25" s="122"/>
      <c r="JW25" s="122"/>
      <c r="JX25" s="122"/>
      <c r="JY25" s="122"/>
      <c r="JZ25" s="122"/>
      <c r="KA25" s="122"/>
      <c r="KB25" s="122"/>
      <c r="KC25" s="122"/>
      <c r="KD25" s="122"/>
      <c r="KE25" s="122"/>
      <c r="KF25" s="122"/>
      <c r="KG25" s="122"/>
      <c r="KH25" s="122"/>
      <c r="KI25" s="122"/>
      <c r="KJ25" s="122"/>
      <c r="KK25" s="122"/>
      <c r="KL25" s="122"/>
      <c r="KM25" s="122"/>
      <c r="KN25" s="122"/>
      <c r="KO25" s="122"/>
      <c r="KP25" s="122"/>
      <c r="KQ25" s="122"/>
      <c r="KR25" s="122"/>
      <c r="KS25" s="122"/>
      <c r="KT25" s="122"/>
      <c r="KU25" s="122"/>
      <c r="KV25" s="122"/>
      <c r="KW25" s="122"/>
      <c r="KX25" s="122"/>
      <c r="KY25" s="122"/>
      <c r="KZ25" s="122"/>
      <c r="LA25" s="122"/>
      <c r="LB25" s="122"/>
      <c r="LC25" s="122"/>
      <c r="LD25" s="122"/>
      <c r="LE25" s="122"/>
      <c r="LF25" s="122"/>
      <c r="LG25" s="122"/>
      <c r="LH25" s="122"/>
      <c r="LI25" s="122"/>
      <c r="LJ25" s="122"/>
      <c r="LK25" s="122"/>
      <c r="LL25" s="122"/>
      <c r="LM25" s="122"/>
      <c r="LN25" s="122"/>
      <c r="LO25" s="122"/>
      <c r="LP25" s="122"/>
      <c r="LQ25" s="122"/>
      <c r="LR25" s="122"/>
      <c r="LS25" s="122"/>
      <c r="LT25" s="122"/>
      <c r="LU25" s="122"/>
      <c r="LV25" s="122"/>
      <c r="LW25" s="122"/>
      <c r="LX25" s="122"/>
      <c r="LY25" s="122"/>
      <c r="LZ25" s="122"/>
      <c r="MA25" s="122"/>
      <c r="MB25" s="122"/>
      <c r="MC25" s="122"/>
      <c r="MD25" s="122"/>
      <c r="ME25" s="122"/>
      <c r="MF25" s="122"/>
      <c r="MG25" s="122"/>
      <c r="MH25" s="122"/>
      <c r="MI25" s="122"/>
      <c r="MJ25" s="122"/>
      <c r="MK25" s="122"/>
      <c r="ML25" s="122"/>
      <c r="MM25" s="122"/>
      <c r="MN25" s="122"/>
      <c r="MO25" s="122"/>
      <c r="MP25" s="122"/>
      <c r="MQ25" s="122"/>
      <c r="MR25" s="122"/>
      <c r="MS25" s="122"/>
      <c r="MT25" s="122"/>
      <c r="MU25" s="122"/>
      <c r="MV25" s="122"/>
      <c r="MW25" s="122"/>
      <c r="MX25" s="122"/>
      <c r="MY25" s="122"/>
      <c r="MZ25" s="122"/>
      <c r="NA25" s="122"/>
      <c r="NB25" s="122"/>
      <c r="NC25" s="122"/>
      <c r="ND25" s="122"/>
      <c r="NE25" s="122"/>
      <c r="NF25" s="122"/>
      <c r="NG25" s="122"/>
      <c r="NH25" s="122"/>
      <c r="NI25" s="122"/>
      <c r="NJ25" s="122"/>
      <c r="NK25" s="122"/>
      <c r="NL25" s="122"/>
      <c r="NM25" s="122"/>
      <c r="NN25" s="122"/>
      <c r="NO25" s="122"/>
      <c r="NP25" s="122"/>
      <c r="NQ25" s="122"/>
      <c r="NR25" s="122"/>
      <c r="NS25" s="122"/>
      <c r="NT25" s="122"/>
      <c r="NU25" s="122"/>
      <c r="NV25" s="122"/>
      <c r="NW25" s="122"/>
      <c r="NX25" s="122"/>
      <c r="NY25" s="122"/>
      <c r="NZ25" s="122"/>
      <c r="OA25" s="122"/>
      <c r="OB25" s="122"/>
      <c r="OC25" s="122"/>
      <c r="OD25" s="122"/>
      <c r="OE25" s="122"/>
      <c r="OF25" s="122"/>
      <c r="OG25" s="122"/>
      <c r="OH25" s="122"/>
      <c r="OI25" s="122"/>
      <c r="OJ25" s="122"/>
      <c r="OK25" s="122"/>
      <c r="OL25" s="122"/>
      <c r="OM25" s="122"/>
      <c r="ON25" s="122"/>
      <c r="OO25" s="122"/>
      <c r="OP25" s="122"/>
      <c r="OQ25" s="122"/>
      <c r="OR25" s="122"/>
      <c r="OS25" s="122"/>
      <c r="OT25" s="122"/>
      <c r="OU25" s="122"/>
      <c r="OV25" s="122"/>
      <c r="OW25" s="122"/>
      <c r="OX25" s="122"/>
      <c r="OY25" s="122"/>
      <c r="OZ25" s="122"/>
      <c r="PA25" s="122"/>
      <c r="PB25" s="122"/>
      <c r="PC25" s="122"/>
      <c r="PD25" s="122"/>
      <c r="PE25" s="122"/>
      <c r="PF25" s="122"/>
      <c r="PG25" s="122"/>
      <c r="PH25" s="122"/>
      <c r="PI25" s="122"/>
      <c r="PJ25" s="122"/>
      <c r="PK25" s="122"/>
      <c r="PL25" s="122"/>
      <c r="PM25" s="122"/>
      <c r="PN25" s="122"/>
      <c r="PO25" s="122"/>
      <c r="PP25" s="122"/>
      <c r="PQ25" s="122"/>
      <c r="PR25" s="122"/>
      <c r="PS25" s="122"/>
      <c r="PT25" s="122"/>
      <c r="PU25" s="122"/>
      <c r="PV25" s="122"/>
      <c r="PW25" s="122"/>
      <c r="PX25" s="122"/>
      <c r="PY25" s="122"/>
      <c r="PZ25" s="122"/>
      <c r="QA25" s="122"/>
      <c r="QB25" s="122"/>
      <c r="QC25" s="122"/>
      <c r="QD25" s="122"/>
      <c r="QE25" s="122"/>
      <c r="QF25" s="122"/>
      <c r="QG25" s="122"/>
      <c r="QH25" s="122"/>
      <c r="QI25" s="122"/>
      <c r="QJ25" s="122"/>
      <c r="QK25" s="122"/>
      <c r="QL25" s="122"/>
      <c r="QM25" s="122"/>
      <c r="QN25" s="122"/>
      <c r="QO25" s="122"/>
      <c r="QP25" s="122"/>
      <c r="QQ25" s="122"/>
      <c r="QR25" s="122"/>
      <c r="QS25" s="122"/>
      <c r="QT25" s="122"/>
      <c r="QU25" s="122"/>
      <c r="QV25" s="122"/>
      <c r="QW25" s="122"/>
      <c r="QX25" s="122"/>
      <c r="QY25" s="122"/>
      <c r="QZ25" s="122"/>
      <c r="RA25" s="122"/>
      <c r="RB25" s="122"/>
      <c r="RC25" s="122"/>
      <c r="RD25" s="122"/>
      <c r="RE25" s="122"/>
      <c r="RF25" s="122"/>
      <c r="RG25" s="122"/>
      <c r="RH25" s="122"/>
      <c r="RI25" s="122"/>
      <c r="RJ25" s="122"/>
      <c r="RK25" s="122"/>
      <c r="RL25" s="122"/>
      <c r="RM25" s="122"/>
      <c r="RN25" s="122"/>
      <c r="RO25" s="122"/>
      <c r="RP25" s="122"/>
      <c r="RQ25" s="122"/>
      <c r="RR25" s="122"/>
      <c r="RS25" s="122"/>
      <c r="RT25" s="122"/>
      <c r="RU25" s="122"/>
      <c r="RV25" s="122"/>
      <c r="RW25" s="122"/>
      <c r="RX25" s="122"/>
      <c r="RY25" s="122"/>
      <c r="RZ25" s="122"/>
      <c r="SA25" s="122"/>
      <c r="SB25" s="122"/>
      <c r="SC25" s="122"/>
      <c r="SD25" s="122"/>
      <c r="SE25" s="122"/>
      <c r="SF25" s="122"/>
    </row>
    <row r="26" spans="1:500" ht="30.25" customHeight="1" x14ac:dyDescent="0.25">
      <c r="A26" s="593" t="s">
        <v>2593</v>
      </c>
      <c r="B26" s="593" t="s">
        <v>2621</v>
      </c>
      <c r="C26" s="594" t="str">
        <f>CONCATENATE(A26," ",B26)</f>
        <v>CITROEN C Zero</v>
      </c>
      <c r="D26" s="593" t="s">
        <v>2741</v>
      </c>
      <c r="E26" s="593">
        <v>49</v>
      </c>
      <c r="F26" s="593" t="s">
        <v>2521</v>
      </c>
      <c r="G26" s="642">
        <v>17</v>
      </c>
      <c r="H26" s="593"/>
      <c r="I26" s="593">
        <v>0</v>
      </c>
      <c r="J26" s="595">
        <v>0</v>
      </c>
      <c r="K26" s="595">
        <v>0</v>
      </c>
      <c r="L26" s="595">
        <v>21990</v>
      </c>
      <c r="M26" s="596"/>
      <c r="N26" s="643" t="s">
        <v>2878</v>
      </c>
      <c r="O26" s="658" t="s">
        <v>2973</v>
      </c>
      <c r="P26" s="603"/>
      <c r="Q26" s="603"/>
      <c r="R26" s="603"/>
      <c r="S26" s="603"/>
      <c r="T26" s="603"/>
      <c r="U26" s="603"/>
      <c r="V26" s="603"/>
      <c r="W26" s="603"/>
      <c r="X26" s="603"/>
      <c r="Y26" s="603"/>
      <c r="Z26" s="603"/>
      <c r="AA26" s="603"/>
      <c r="AB26" s="603"/>
      <c r="AC26" s="603"/>
      <c r="AD26" s="603"/>
      <c r="AE26" s="611"/>
      <c r="AF26" s="611"/>
      <c r="AG26" s="609"/>
      <c r="AH26" s="611"/>
      <c r="AI26" s="611"/>
      <c r="AJ26" s="611"/>
      <c r="AK26" s="611"/>
      <c r="AL26" s="611"/>
      <c r="AM26" s="119"/>
      <c r="AN26" s="119"/>
      <c r="AO26" s="119"/>
      <c r="AP26" s="120"/>
      <c r="AQ26" s="120"/>
      <c r="AR26" s="120"/>
      <c r="AS26" s="120"/>
      <c r="AT26" s="120"/>
      <c r="AU26" s="120"/>
      <c r="AV26" s="120"/>
      <c r="AW26" s="120"/>
    </row>
    <row r="27" spans="1:500" s="657" customFormat="1" ht="30.25" customHeight="1" x14ac:dyDescent="0.25">
      <c r="A27" s="593" t="s">
        <v>2593</v>
      </c>
      <c r="B27" s="593" t="s">
        <v>3438</v>
      </c>
      <c r="C27" s="594" t="str">
        <f t="shared" ref="C27" si="1">CONCATENATE(A27," ",B27)</f>
        <v>CITROEN e-C4 (Feel)</v>
      </c>
      <c r="D27" s="593" t="s">
        <v>2741</v>
      </c>
      <c r="E27" s="593">
        <v>100</v>
      </c>
      <c r="F27" s="593" t="s">
        <v>2521</v>
      </c>
      <c r="G27" s="642">
        <v>16.600000000000001</v>
      </c>
      <c r="H27" s="593"/>
      <c r="I27" s="593">
        <v>0</v>
      </c>
      <c r="J27" s="595"/>
      <c r="K27" s="595"/>
      <c r="L27" s="595">
        <v>35950</v>
      </c>
      <c r="M27" s="596"/>
      <c r="N27" s="643" t="s">
        <v>2875</v>
      </c>
      <c r="O27" s="659"/>
      <c r="P27" s="603"/>
      <c r="Q27" s="603"/>
      <c r="R27" s="603"/>
      <c r="S27" s="603"/>
      <c r="T27" s="603"/>
      <c r="U27" s="603"/>
      <c r="V27" s="603"/>
      <c r="W27" s="603"/>
      <c r="X27" s="603"/>
      <c r="Y27" s="603"/>
      <c r="Z27" s="603"/>
      <c r="AA27" s="603"/>
      <c r="AB27" s="603"/>
      <c r="AC27" s="603"/>
      <c r="AD27" s="603"/>
      <c r="AE27" s="611"/>
      <c r="AF27" s="611"/>
      <c r="AG27" s="609"/>
      <c r="AH27" s="611"/>
      <c r="AI27" s="611"/>
      <c r="AJ27" s="611"/>
      <c r="AK27" s="611"/>
      <c r="AL27" s="611"/>
      <c r="AM27" s="119"/>
      <c r="AN27" s="119"/>
      <c r="AO27" s="119"/>
      <c r="AP27" s="120"/>
      <c r="AQ27" s="120"/>
      <c r="AR27" s="120"/>
      <c r="AS27" s="120"/>
      <c r="AT27" s="120"/>
      <c r="AU27" s="120"/>
      <c r="AV27" s="120"/>
      <c r="AW27" s="120"/>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122"/>
      <c r="ES27" s="122"/>
      <c r="ET27" s="122"/>
      <c r="EU27" s="122"/>
      <c r="EV27" s="122"/>
      <c r="EW27" s="122"/>
      <c r="EX27" s="122"/>
      <c r="EY27" s="122"/>
      <c r="EZ27" s="122"/>
      <c r="FA27" s="122"/>
      <c r="FB27" s="122"/>
      <c r="FC27" s="122"/>
      <c r="FD27" s="122"/>
      <c r="FE27" s="122"/>
      <c r="FF27" s="122"/>
      <c r="FG27" s="122"/>
      <c r="FH27" s="122"/>
      <c r="FI27" s="122"/>
      <c r="FJ27" s="122"/>
      <c r="FK27" s="122"/>
      <c r="FL27" s="122"/>
      <c r="FM27" s="122"/>
      <c r="FN27" s="122"/>
      <c r="FO27" s="122"/>
      <c r="FP27" s="122"/>
      <c r="FQ27" s="122"/>
      <c r="FR27" s="122"/>
      <c r="FS27" s="122"/>
      <c r="FT27" s="122"/>
      <c r="FU27" s="122"/>
      <c r="FV27" s="122"/>
      <c r="FW27" s="122"/>
      <c r="FX27" s="122"/>
      <c r="FY27" s="122"/>
      <c r="FZ27" s="122"/>
      <c r="GA27" s="122"/>
      <c r="GB27" s="122"/>
      <c r="GC27" s="122"/>
      <c r="GD27" s="122"/>
      <c r="GE27" s="122"/>
      <c r="GF27" s="122"/>
      <c r="GG27" s="122"/>
      <c r="GH27" s="122"/>
      <c r="GI27" s="122"/>
      <c r="GJ27" s="122"/>
      <c r="GK27" s="122"/>
      <c r="GL27" s="122"/>
      <c r="GM27" s="122"/>
      <c r="GN27" s="122"/>
      <c r="GO27" s="122"/>
      <c r="GP27" s="122"/>
      <c r="GQ27" s="122"/>
      <c r="GR27" s="122"/>
      <c r="GS27" s="122"/>
      <c r="GT27" s="122"/>
      <c r="GU27" s="122"/>
      <c r="GV27" s="122"/>
      <c r="GW27" s="122"/>
      <c r="GX27" s="122"/>
      <c r="GY27" s="122"/>
      <c r="GZ27" s="122"/>
      <c r="HA27" s="122"/>
      <c r="HB27" s="122"/>
      <c r="HC27" s="122"/>
      <c r="HD27" s="122"/>
      <c r="HE27" s="122"/>
      <c r="HF27" s="122"/>
      <c r="HG27" s="122"/>
      <c r="HH27" s="122"/>
      <c r="HI27" s="122"/>
      <c r="HJ27" s="122"/>
      <c r="HK27" s="122"/>
      <c r="HL27" s="122"/>
      <c r="HM27" s="122"/>
      <c r="HN27" s="122"/>
      <c r="HO27" s="122"/>
      <c r="HP27" s="122"/>
      <c r="HQ27" s="122"/>
      <c r="HR27" s="122"/>
      <c r="HS27" s="122"/>
      <c r="HT27" s="122"/>
      <c r="HU27" s="122"/>
      <c r="HV27" s="122"/>
      <c r="HW27" s="122"/>
      <c r="HX27" s="122"/>
      <c r="HY27" s="122"/>
      <c r="HZ27" s="122"/>
      <c r="IA27" s="122"/>
      <c r="IB27" s="122"/>
      <c r="IC27" s="122"/>
      <c r="ID27" s="122"/>
      <c r="IE27" s="122"/>
      <c r="IF27" s="122"/>
      <c r="IG27" s="122"/>
      <c r="IH27" s="122"/>
      <c r="II27" s="122"/>
      <c r="IJ27" s="122"/>
      <c r="IK27" s="122"/>
      <c r="IL27" s="122"/>
      <c r="IM27" s="122"/>
      <c r="IN27" s="122"/>
      <c r="IO27" s="122"/>
      <c r="IP27" s="122"/>
      <c r="IQ27" s="122"/>
      <c r="IR27" s="122"/>
      <c r="IS27" s="122"/>
      <c r="IT27" s="122"/>
      <c r="IU27" s="122"/>
      <c r="IV27" s="122"/>
      <c r="IW27" s="122"/>
      <c r="IX27" s="122"/>
      <c r="IY27" s="122"/>
      <c r="IZ27" s="122"/>
      <c r="JA27" s="122"/>
      <c r="JB27" s="122"/>
      <c r="JC27" s="122"/>
      <c r="JD27" s="122"/>
      <c r="JE27" s="122"/>
      <c r="JF27" s="122"/>
      <c r="JG27" s="122"/>
      <c r="JH27" s="122"/>
      <c r="JI27" s="122"/>
      <c r="JJ27" s="122"/>
      <c r="JK27" s="122"/>
      <c r="JL27" s="122"/>
      <c r="JM27" s="122"/>
      <c r="JN27" s="122"/>
      <c r="JO27" s="122"/>
      <c r="JP27" s="122"/>
      <c r="JQ27" s="122"/>
      <c r="JR27" s="122"/>
      <c r="JS27" s="122"/>
      <c r="JT27" s="122"/>
      <c r="JU27" s="122"/>
      <c r="JV27" s="122"/>
      <c r="JW27" s="122"/>
      <c r="JX27" s="122"/>
      <c r="JY27" s="122"/>
      <c r="JZ27" s="122"/>
      <c r="KA27" s="122"/>
      <c r="KB27" s="122"/>
      <c r="KC27" s="122"/>
      <c r="KD27" s="122"/>
      <c r="KE27" s="122"/>
      <c r="KF27" s="122"/>
      <c r="KG27" s="122"/>
      <c r="KH27" s="122"/>
      <c r="KI27" s="122"/>
      <c r="KJ27" s="122"/>
      <c r="KK27" s="122"/>
      <c r="KL27" s="122"/>
      <c r="KM27" s="122"/>
      <c r="KN27" s="122"/>
      <c r="KO27" s="122"/>
      <c r="KP27" s="122"/>
      <c r="KQ27" s="122"/>
      <c r="KR27" s="122"/>
      <c r="KS27" s="122"/>
      <c r="KT27" s="122"/>
      <c r="KU27" s="122"/>
      <c r="KV27" s="122"/>
      <c r="KW27" s="122"/>
      <c r="KX27" s="122"/>
      <c r="KY27" s="122"/>
      <c r="KZ27" s="122"/>
      <c r="LA27" s="122"/>
      <c r="LB27" s="122"/>
      <c r="LC27" s="122"/>
      <c r="LD27" s="122"/>
      <c r="LE27" s="122"/>
      <c r="LF27" s="122"/>
      <c r="LG27" s="122"/>
      <c r="LH27" s="122"/>
      <c r="LI27" s="122"/>
      <c r="LJ27" s="122"/>
      <c r="LK27" s="122"/>
      <c r="LL27" s="122"/>
      <c r="LM27" s="122"/>
      <c r="LN27" s="122"/>
      <c r="LO27" s="122"/>
      <c r="LP27" s="122"/>
      <c r="LQ27" s="122"/>
      <c r="LR27" s="122"/>
      <c r="LS27" s="122"/>
      <c r="LT27" s="122"/>
      <c r="LU27" s="122"/>
      <c r="LV27" s="122"/>
      <c r="LW27" s="122"/>
      <c r="LX27" s="122"/>
      <c r="LY27" s="122"/>
      <c r="LZ27" s="122"/>
      <c r="MA27" s="122"/>
      <c r="MB27" s="122"/>
      <c r="MC27" s="122"/>
      <c r="MD27" s="122"/>
      <c r="ME27" s="122"/>
      <c r="MF27" s="122"/>
      <c r="MG27" s="122"/>
      <c r="MH27" s="122"/>
      <c r="MI27" s="122"/>
      <c r="MJ27" s="122"/>
      <c r="MK27" s="122"/>
      <c r="ML27" s="122"/>
      <c r="MM27" s="122"/>
      <c r="MN27" s="122"/>
      <c r="MO27" s="122"/>
      <c r="MP27" s="122"/>
      <c r="MQ27" s="122"/>
      <c r="MR27" s="122"/>
      <c r="MS27" s="122"/>
      <c r="MT27" s="122"/>
      <c r="MU27" s="122"/>
      <c r="MV27" s="122"/>
      <c r="MW27" s="122"/>
      <c r="MX27" s="122"/>
      <c r="MY27" s="122"/>
      <c r="MZ27" s="122"/>
      <c r="NA27" s="122"/>
      <c r="NB27" s="122"/>
      <c r="NC27" s="122"/>
      <c r="ND27" s="122"/>
      <c r="NE27" s="122"/>
      <c r="NF27" s="122"/>
      <c r="NG27" s="122"/>
      <c r="NH27" s="122"/>
      <c r="NI27" s="122"/>
      <c r="NJ27" s="122"/>
      <c r="NK27" s="122"/>
      <c r="NL27" s="122"/>
      <c r="NM27" s="122"/>
      <c r="NN27" s="122"/>
      <c r="NO27" s="122"/>
      <c r="NP27" s="122"/>
      <c r="NQ27" s="122"/>
      <c r="NR27" s="122"/>
      <c r="NS27" s="122"/>
      <c r="NT27" s="122"/>
      <c r="NU27" s="122"/>
      <c r="NV27" s="122"/>
      <c r="NW27" s="122"/>
      <c r="NX27" s="122"/>
      <c r="NY27" s="122"/>
      <c r="NZ27" s="122"/>
      <c r="OA27" s="122"/>
      <c r="OB27" s="122"/>
      <c r="OC27" s="122"/>
      <c r="OD27" s="122"/>
      <c r="OE27" s="122"/>
      <c r="OF27" s="122"/>
      <c r="OG27" s="122"/>
      <c r="OH27" s="122"/>
      <c r="OI27" s="122"/>
      <c r="OJ27" s="122"/>
      <c r="OK27" s="122"/>
      <c r="OL27" s="122"/>
      <c r="OM27" s="122"/>
      <c r="ON27" s="122"/>
      <c r="OO27" s="122"/>
      <c r="OP27" s="122"/>
      <c r="OQ27" s="122"/>
      <c r="OR27" s="122"/>
      <c r="OS27" s="122"/>
      <c r="OT27" s="122"/>
      <c r="OU27" s="122"/>
      <c r="OV27" s="122"/>
      <c r="OW27" s="122"/>
      <c r="OX27" s="122"/>
      <c r="OY27" s="122"/>
      <c r="OZ27" s="122"/>
      <c r="PA27" s="122"/>
      <c r="PB27" s="122"/>
      <c r="PC27" s="122"/>
      <c r="PD27" s="122"/>
      <c r="PE27" s="122"/>
      <c r="PF27" s="122"/>
      <c r="PG27" s="122"/>
      <c r="PH27" s="122"/>
      <c r="PI27" s="122"/>
      <c r="PJ27" s="122"/>
      <c r="PK27" s="122"/>
      <c r="PL27" s="122"/>
      <c r="PM27" s="122"/>
      <c r="PN27" s="122"/>
      <c r="PO27" s="122"/>
      <c r="PP27" s="122"/>
      <c r="PQ27" s="122"/>
      <c r="PR27" s="122"/>
      <c r="PS27" s="122"/>
      <c r="PT27" s="122"/>
      <c r="PU27" s="122"/>
      <c r="PV27" s="122"/>
      <c r="PW27" s="122"/>
      <c r="PX27" s="122"/>
      <c r="PY27" s="122"/>
      <c r="PZ27" s="122"/>
      <c r="QA27" s="122"/>
      <c r="QB27" s="122"/>
      <c r="QC27" s="122"/>
      <c r="QD27" s="122"/>
      <c r="QE27" s="122"/>
      <c r="QF27" s="122"/>
      <c r="QG27" s="122"/>
      <c r="QH27" s="122"/>
      <c r="QI27" s="122"/>
      <c r="QJ27" s="122"/>
      <c r="QK27" s="122"/>
      <c r="QL27" s="122"/>
      <c r="QM27" s="122"/>
      <c r="QN27" s="122"/>
      <c r="QO27" s="122"/>
      <c r="QP27" s="122"/>
      <c r="QQ27" s="122"/>
      <c r="QR27" s="122"/>
      <c r="QS27" s="122"/>
      <c r="QT27" s="122"/>
      <c r="QU27" s="122"/>
      <c r="QV27" s="122"/>
      <c r="QW27" s="122"/>
      <c r="QX27" s="122"/>
      <c r="QY27" s="122"/>
      <c r="QZ27" s="122"/>
      <c r="RA27" s="122"/>
      <c r="RB27" s="122"/>
      <c r="RC27" s="122"/>
      <c r="RD27" s="122"/>
      <c r="RE27" s="122"/>
      <c r="RF27" s="122"/>
      <c r="RG27" s="122"/>
      <c r="RH27" s="122"/>
      <c r="RI27" s="122"/>
      <c r="RJ27" s="122"/>
      <c r="RK27" s="122"/>
      <c r="RL27" s="122"/>
      <c r="RM27" s="122"/>
      <c r="RN27" s="122"/>
      <c r="RO27" s="122"/>
      <c r="RP27" s="122"/>
      <c r="RQ27" s="122"/>
      <c r="RR27" s="122"/>
      <c r="RS27" s="122"/>
      <c r="RT27" s="122"/>
      <c r="RU27" s="122"/>
      <c r="RV27" s="122"/>
      <c r="RW27" s="122"/>
      <c r="RX27" s="122"/>
      <c r="RY27" s="122"/>
      <c r="RZ27" s="122"/>
      <c r="SA27" s="122"/>
      <c r="SB27" s="122"/>
      <c r="SC27" s="122"/>
      <c r="SD27" s="122"/>
      <c r="SE27" s="122"/>
      <c r="SF27" s="122"/>
    </row>
    <row r="28" spans="1:500" s="657" customFormat="1" ht="30.25" customHeight="1" x14ac:dyDescent="0.25">
      <c r="A28" s="593" t="s">
        <v>2593</v>
      </c>
      <c r="B28" s="593" t="s">
        <v>3439</v>
      </c>
      <c r="C28" s="594" t="str">
        <f t="shared" ref="C28" si="2">CONCATENATE(A28," ",B28)</f>
        <v>CITROEN e-C4 (Shine)</v>
      </c>
      <c r="D28" s="593" t="s">
        <v>2741</v>
      </c>
      <c r="E28" s="593">
        <v>100</v>
      </c>
      <c r="F28" s="593" t="s">
        <v>2521</v>
      </c>
      <c r="G28" s="642">
        <v>16.600000000000001</v>
      </c>
      <c r="H28" s="593"/>
      <c r="I28" s="593">
        <v>0</v>
      </c>
      <c r="J28" s="595"/>
      <c r="K28" s="595"/>
      <c r="L28" s="595">
        <v>37150</v>
      </c>
      <c r="M28" s="596"/>
      <c r="N28" s="643" t="s">
        <v>2875</v>
      </c>
      <c r="O28" s="659"/>
      <c r="P28" s="603"/>
      <c r="Q28" s="603"/>
      <c r="R28" s="603"/>
      <c r="S28" s="603"/>
      <c r="T28" s="603"/>
      <c r="U28" s="603"/>
      <c r="V28" s="603"/>
      <c r="W28" s="603"/>
      <c r="X28" s="603"/>
      <c r="Y28" s="603"/>
      <c r="Z28" s="603"/>
      <c r="AA28" s="603"/>
      <c r="AB28" s="603"/>
      <c r="AC28" s="603"/>
      <c r="AD28" s="603"/>
      <c r="AE28" s="611"/>
      <c r="AF28" s="611"/>
      <c r="AG28" s="609"/>
      <c r="AH28" s="611"/>
      <c r="AI28" s="611"/>
      <c r="AJ28" s="611"/>
      <c r="AK28" s="611"/>
      <c r="AL28" s="611"/>
      <c r="AM28" s="119"/>
      <c r="AN28" s="119"/>
      <c r="AO28" s="119"/>
      <c r="AP28" s="120"/>
      <c r="AQ28" s="120"/>
      <c r="AR28" s="120"/>
      <c r="AS28" s="120"/>
      <c r="AT28" s="120"/>
      <c r="AU28" s="120"/>
      <c r="AV28" s="120"/>
      <c r="AW28" s="120"/>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2"/>
      <c r="EI28" s="122"/>
      <c r="EJ28" s="122"/>
      <c r="EK28" s="122"/>
      <c r="EL28" s="122"/>
      <c r="EM28" s="122"/>
      <c r="EN28" s="122"/>
      <c r="EO28" s="122"/>
      <c r="EP28" s="122"/>
      <c r="EQ28" s="122"/>
      <c r="ER28" s="122"/>
      <c r="ES28" s="122"/>
      <c r="ET28" s="122"/>
      <c r="EU28" s="122"/>
      <c r="EV28" s="122"/>
      <c r="EW28" s="122"/>
      <c r="EX28" s="122"/>
      <c r="EY28" s="122"/>
      <c r="EZ28" s="122"/>
      <c r="FA28" s="122"/>
      <c r="FB28" s="122"/>
      <c r="FC28" s="122"/>
      <c r="FD28" s="122"/>
      <c r="FE28" s="122"/>
      <c r="FF28" s="122"/>
      <c r="FG28" s="122"/>
      <c r="FH28" s="122"/>
      <c r="FI28" s="122"/>
      <c r="FJ28" s="122"/>
      <c r="FK28" s="122"/>
      <c r="FL28" s="122"/>
      <c r="FM28" s="122"/>
      <c r="FN28" s="122"/>
      <c r="FO28" s="122"/>
      <c r="FP28" s="122"/>
      <c r="FQ28" s="122"/>
      <c r="FR28" s="122"/>
      <c r="FS28" s="122"/>
      <c r="FT28" s="122"/>
      <c r="FU28" s="122"/>
      <c r="FV28" s="122"/>
      <c r="FW28" s="122"/>
      <c r="FX28" s="122"/>
      <c r="FY28" s="122"/>
      <c r="FZ28" s="122"/>
      <c r="GA28" s="122"/>
      <c r="GB28" s="122"/>
      <c r="GC28" s="122"/>
      <c r="GD28" s="122"/>
      <c r="GE28" s="122"/>
      <c r="GF28" s="122"/>
      <c r="GG28" s="122"/>
      <c r="GH28" s="122"/>
      <c r="GI28" s="122"/>
      <c r="GJ28" s="122"/>
      <c r="GK28" s="122"/>
      <c r="GL28" s="122"/>
      <c r="GM28" s="122"/>
      <c r="GN28" s="122"/>
      <c r="GO28" s="122"/>
      <c r="GP28" s="122"/>
      <c r="GQ28" s="122"/>
      <c r="GR28" s="122"/>
      <c r="GS28" s="122"/>
      <c r="GT28" s="122"/>
      <c r="GU28" s="122"/>
      <c r="GV28" s="122"/>
      <c r="GW28" s="122"/>
      <c r="GX28" s="122"/>
      <c r="GY28" s="122"/>
      <c r="GZ28" s="122"/>
      <c r="HA28" s="122"/>
      <c r="HB28" s="122"/>
      <c r="HC28" s="122"/>
      <c r="HD28" s="122"/>
      <c r="HE28" s="122"/>
      <c r="HF28" s="122"/>
      <c r="HG28" s="122"/>
      <c r="HH28" s="122"/>
      <c r="HI28" s="122"/>
      <c r="HJ28" s="122"/>
      <c r="HK28" s="122"/>
      <c r="HL28" s="122"/>
      <c r="HM28" s="122"/>
      <c r="HN28" s="122"/>
      <c r="HO28" s="122"/>
      <c r="HP28" s="122"/>
      <c r="HQ28" s="122"/>
      <c r="HR28" s="122"/>
      <c r="HS28" s="122"/>
      <c r="HT28" s="122"/>
      <c r="HU28" s="122"/>
      <c r="HV28" s="122"/>
      <c r="HW28" s="122"/>
      <c r="HX28" s="122"/>
      <c r="HY28" s="122"/>
      <c r="HZ28" s="122"/>
      <c r="IA28" s="122"/>
      <c r="IB28" s="122"/>
      <c r="IC28" s="122"/>
      <c r="ID28" s="122"/>
      <c r="IE28" s="122"/>
      <c r="IF28" s="122"/>
      <c r="IG28" s="122"/>
      <c r="IH28" s="122"/>
      <c r="II28" s="122"/>
      <c r="IJ28" s="122"/>
      <c r="IK28" s="122"/>
      <c r="IL28" s="122"/>
      <c r="IM28" s="122"/>
      <c r="IN28" s="122"/>
      <c r="IO28" s="122"/>
      <c r="IP28" s="122"/>
      <c r="IQ28" s="122"/>
      <c r="IR28" s="122"/>
      <c r="IS28" s="122"/>
      <c r="IT28" s="122"/>
      <c r="IU28" s="122"/>
      <c r="IV28" s="122"/>
      <c r="IW28" s="122"/>
      <c r="IX28" s="122"/>
      <c r="IY28" s="122"/>
      <c r="IZ28" s="122"/>
      <c r="JA28" s="122"/>
      <c r="JB28" s="122"/>
      <c r="JC28" s="122"/>
      <c r="JD28" s="122"/>
      <c r="JE28" s="122"/>
      <c r="JF28" s="122"/>
      <c r="JG28" s="122"/>
      <c r="JH28" s="122"/>
      <c r="JI28" s="122"/>
      <c r="JJ28" s="122"/>
      <c r="JK28" s="122"/>
      <c r="JL28" s="122"/>
      <c r="JM28" s="122"/>
      <c r="JN28" s="122"/>
      <c r="JO28" s="122"/>
      <c r="JP28" s="122"/>
      <c r="JQ28" s="122"/>
      <c r="JR28" s="122"/>
      <c r="JS28" s="122"/>
      <c r="JT28" s="122"/>
      <c r="JU28" s="122"/>
      <c r="JV28" s="122"/>
      <c r="JW28" s="122"/>
      <c r="JX28" s="122"/>
      <c r="JY28" s="122"/>
      <c r="JZ28" s="122"/>
      <c r="KA28" s="122"/>
      <c r="KB28" s="122"/>
      <c r="KC28" s="122"/>
      <c r="KD28" s="122"/>
      <c r="KE28" s="122"/>
      <c r="KF28" s="122"/>
      <c r="KG28" s="122"/>
      <c r="KH28" s="122"/>
      <c r="KI28" s="122"/>
      <c r="KJ28" s="122"/>
      <c r="KK28" s="122"/>
      <c r="KL28" s="122"/>
      <c r="KM28" s="122"/>
      <c r="KN28" s="122"/>
      <c r="KO28" s="122"/>
      <c r="KP28" s="122"/>
      <c r="KQ28" s="122"/>
      <c r="KR28" s="122"/>
      <c r="KS28" s="122"/>
      <c r="KT28" s="122"/>
      <c r="KU28" s="122"/>
      <c r="KV28" s="122"/>
      <c r="KW28" s="122"/>
      <c r="KX28" s="122"/>
      <c r="KY28" s="122"/>
      <c r="KZ28" s="122"/>
      <c r="LA28" s="122"/>
      <c r="LB28" s="122"/>
      <c r="LC28" s="122"/>
      <c r="LD28" s="122"/>
      <c r="LE28" s="122"/>
      <c r="LF28" s="122"/>
      <c r="LG28" s="122"/>
      <c r="LH28" s="122"/>
      <c r="LI28" s="122"/>
      <c r="LJ28" s="122"/>
      <c r="LK28" s="122"/>
      <c r="LL28" s="122"/>
      <c r="LM28" s="122"/>
      <c r="LN28" s="122"/>
      <c r="LO28" s="122"/>
      <c r="LP28" s="122"/>
      <c r="LQ28" s="122"/>
      <c r="LR28" s="122"/>
      <c r="LS28" s="122"/>
      <c r="LT28" s="122"/>
      <c r="LU28" s="122"/>
      <c r="LV28" s="122"/>
      <c r="LW28" s="122"/>
      <c r="LX28" s="122"/>
      <c r="LY28" s="122"/>
      <c r="LZ28" s="122"/>
      <c r="MA28" s="122"/>
      <c r="MB28" s="122"/>
      <c r="MC28" s="122"/>
      <c r="MD28" s="122"/>
      <c r="ME28" s="122"/>
      <c r="MF28" s="122"/>
      <c r="MG28" s="122"/>
      <c r="MH28" s="122"/>
      <c r="MI28" s="122"/>
      <c r="MJ28" s="122"/>
      <c r="MK28" s="122"/>
      <c r="ML28" s="122"/>
      <c r="MM28" s="122"/>
      <c r="MN28" s="122"/>
      <c r="MO28" s="122"/>
      <c r="MP28" s="122"/>
      <c r="MQ28" s="122"/>
      <c r="MR28" s="122"/>
      <c r="MS28" s="122"/>
      <c r="MT28" s="122"/>
      <c r="MU28" s="122"/>
      <c r="MV28" s="122"/>
      <c r="MW28" s="122"/>
      <c r="MX28" s="122"/>
      <c r="MY28" s="122"/>
      <c r="MZ28" s="122"/>
      <c r="NA28" s="122"/>
      <c r="NB28" s="122"/>
      <c r="NC28" s="122"/>
      <c r="ND28" s="122"/>
      <c r="NE28" s="122"/>
      <c r="NF28" s="122"/>
      <c r="NG28" s="122"/>
      <c r="NH28" s="122"/>
      <c r="NI28" s="122"/>
      <c r="NJ28" s="122"/>
      <c r="NK28" s="122"/>
      <c r="NL28" s="122"/>
      <c r="NM28" s="122"/>
      <c r="NN28" s="122"/>
      <c r="NO28" s="122"/>
      <c r="NP28" s="122"/>
      <c r="NQ28" s="122"/>
      <c r="NR28" s="122"/>
      <c r="NS28" s="122"/>
      <c r="NT28" s="122"/>
      <c r="NU28" s="122"/>
      <c r="NV28" s="122"/>
      <c r="NW28" s="122"/>
      <c r="NX28" s="122"/>
      <c r="NY28" s="122"/>
      <c r="NZ28" s="122"/>
      <c r="OA28" s="122"/>
      <c r="OB28" s="122"/>
      <c r="OC28" s="122"/>
      <c r="OD28" s="122"/>
      <c r="OE28" s="122"/>
      <c r="OF28" s="122"/>
      <c r="OG28" s="122"/>
      <c r="OH28" s="122"/>
      <c r="OI28" s="122"/>
      <c r="OJ28" s="122"/>
      <c r="OK28" s="122"/>
      <c r="OL28" s="122"/>
      <c r="OM28" s="122"/>
      <c r="ON28" s="122"/>
      <c r="OO28" s="122"/>
      <c r="OP28" s="122"/>
      <c r="OQ28" s="122"/>
      <c r="OR28" s="122"/>
      <c r="OS28" s="122"/>
      <c r="OT28" s="122"/>
      <c r="OU28" s="122"/>
      <c r="OV28" s="122"/>
      <c r="OW28" s="122"/>
      <c r="OX28" s="122"/>
      <c r="OY28" s="122"/>
      <c r="OZ28" s="122"/>
      <c r="PA28" s="122"/>
      <c r="PB28" s="122"/>
      <c r="PC28" s="122"/>
      <c r="PD28" s="122"/>
      <c r="PE28" s="122"/>
      <c r="PF28" s="122"/>
      <c r="PG28" s="122"/>
      <c r="PH28" s="122"/>
      <c r="PI28" s="122"/>
      <c r="PJ28" s="122"/>
      <c r="PK28" s="122"/>
      <c r="PL28" s="122"/>
      <c r="PM28" s="122"/>
      <c r="PN28" s="122"/>
      <c r="PO28" s="122"/>
      <c r="PP28" s="122"/>
      <c r="PQ28" s="122"/>
      <c r="PR28" s="122"/>
      <c r="PS28" s="122"/>
      <c r="PT28" s="122"/>
      <c r="PU28" s="122"/>
      <c r="PV28" s="122"/>
      <c r="PW28" s="122"/>
      <c r="PX28" s="122"/>
      <c r="PY28" s="122"/>
      <c r="PZ28" s="122"/>
      <c r="QA28" s="122"/>
      <c r="QB28" s="122"/>
      <c r="QC28" s="122"/>
      <c r="QD28" s="122"/>
      <c r="QE28" s="122"/>
      <c r="QF28" s="122"/>
      <c r="QG28" s="122"/>
      <c r="QH28" s="122"/>
      <c r="QI28" s="122"/>
      <c r="QJ28" s="122"/>
      <c r="QK28" s="122"/>
      <c r="QL28" s="122"/>
      <c r="QM28" s="122"/>
      <c r="QN28" s="122"/>
      <c r="QO28" s="122"/>
      <c r="QP28" s="122"/>
      <c r="QQ28" s="122"/>
      <c r="QR28" s="122"/>
      <c r="QS28" s="122"/>
      <c r="QT28" s="122"/>
      <c r="QU28" s="122"/>
      <c r="QV28" s="122"/>
      <c r="QW28" s="122"/>
      <c r="QX28" s="122"/>
      <c r="QY28" s="122"/>
      <c r="QZ28" s="122"/>
      <c r="RA28" s="122"/>
      <c r="RB28" s="122"/>
      <c r="RC28" s="122"/>
      <c r="RD28" s="122"/>
      <c r="RE28" s="122"/>
      <c r="RF28" s="122"/>
      <c r="RG28" s="122"/>
      <c r="RH28" s="122"/>
      <c r="RI28" s="122"/>
      <c r="RJ28" s="122"/>
      <c r="RK28" s="122"/>
      <c r="RL28" s="122"/>
      <c r="RM28" s="122"/>
      <c r="RN28" s="122"/>
      <c r="RO28" s="122"/>
      <c r="RP28" s="122"/>
      <c r="RQ28" s="122"/>
      <c r="RR28" s="122"/>
      <c r="RS28" s="122"/>
      <c r="RT28" s="122"/>
      <c r="RU28" s="122"/>
      <c r="RV28" s="122"/>
      <c r="RW28" s="122"/>
      <c r="RX28" s="122"/>
      <c r="RY28" s="122"/>
      <c r="RZ28" s="122"/>
      <c r="SA28" s="122"/>
      <c r="SB28" s="122"/>
      <c r="SC28" s="122"/>
      <c r="SD28" s="122"/>
      <c r="SE28" s="122"/>
      <c r="SF28" s="122"/>
    </row>
    <row r="29" spans="1:500" s="657" customFormat="1" ht="30.25" customHeight="1" x14ac:dyDescent="0.25">
      <c r="A29" s="593" t="s">
        <v>2593</v>
      </c>
      <c r="B29" s="593" t="s">
        <v>3440</v>
      </c>
      <c r="C29" s="594" t="str">
        <f t="shared" ref="C29:C30" si="3">CONCATENATE(A29," ",B29)</f>
        <v>CITROEN e-C4 (Shine edition)</v>
      </c>
      <c r="D29" s="593" t="s">
        <v>2741</v>
      </c>
      <c r="E29" s="593">
        <v>100</v>
      </c>
      <c r="F29" s="593" t="s">
        <v>2521</v>
      </c>
      <c r="G29" s="642">
        <v>16.600000000000001</v>
      </c>
      <c r="H29" s="593"/>
      <c r="I29" s="593">
        <v>0</v>
      </c>
      <c r="J29" s="595"/>
      <c r="K29" s="595"/>
      <c r="L29" s="595">
        <v>38650</v>
      </c>
      <c r="M29" s="596"/>
      <c r="N29" s="643" t="s">
        <v>2875</v>
      </c>
      <c r="O29" s="659"/>
      <c r="P29" s="603"/>
      <c r="Q29" s="603"/>
      <c r="R29" s="603"/>
      <c r="S29" s="603"/>
      <c r="T29" s="603"/>
      <c r="U29" s="603"/>
      <c r="V29" s="603"/>
      <c r="W29" s="603"/>
      <c r="X29" s="603"/>
      <c r="Y29" s="603"/>
      <c r="Z29" s="603"/>
      <c r="AA29" s="603"/>
      <c r="AB29" s="603"/>
      <c r="AC29" s="603"/>
      <c r="AD29" s="603"/>
      <c r="AE29" s="611"/>
      <c r="AF29" s="611"/>
      <c r="AG29" s="609"/>
      <c r="AH29" s="611"/>
      <c r="AI29" s="611"/>
      <c r="AJ29" s="611"/>
      <c r="AK29" s="611"/>
      <c r="AL29" s="611"/>
      <c r="AM29" s="119"/>
      <c r="AN29" s="119"/>
      <c r="AO29" s="119"/>
      <c r="AP29" s="120"/>
      <c r="AQ29" s="120"/>
      <c r="AR29" s="120"/>
      <c r="AS29" s="120"/>
      <c r="AT29" s="120"/>
      <c r="AU29" s="120"/>
      <c r="AV29" s="120"/>
      <c r="AW29" s="120"/>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2"/>
      <c r="EI29" s="122"/>
      <c r="EJ29" s="122"/>
      <c r="EK29" s="122"/>
      <c r="EL29" s="122"/>
      <c r="EM29" s="122"/>
      <c r="EN29" s="122"/>
      <c r="EO29" s="122"/>
      <c r="EP29" s="122"/>
      <c r="EQ29" s="122"/>
      <c r="ER29" s="122"/>
      <c r="ES29" s="122"/>
      <c r="ET29" s="122"/>
      <c r="EU29" s="122"/>
      <c r="EV29" s="122"/>
      <c r="EW29" s="122"/>
      <c r="EX29" s="122"/>
      <c r="EY29" s="122"/>
      <c r="EZ29" s="122"/>
      <c r="FA29" s="122"/>
      <c r="FB29" s="122"/>
      <c r="FC29" s="122"/>
      <c r="FD29" s="122"/>
      <c r="FE29" s="122"/>
      <c r="FF29" s="122"/>
      <c r="FG29" s="122"/>
      <c r="FH29" s="122"/>
      <c r="FI29" s="122"/>
      <c r="FJ29" s="122"/>
      <c r="FK29" s="122"/>
      <c r="FL29" s="122"/>
      <c r="FM29" s="122"/>
      <c r="FN29" s="122"/>
      <c r="FO29" s="122"/>
      <c r="FP29" s="122"/>
      <c r="FQ29" s="122"/>
      <c r="FR29" s="122"/>
      <c r="FS29" s="122"/>
      <c r="FT29" s="122"/>
      <c r="FU29" s="122"/>
      <c r="FV29" s="122"/>
      <c r="FW29" s="122"/>
      <c r="FX29" s="122"/>
      <c r="FY29" s="122"/>
      <c r="FZ29" s="122"/>
      <c r="GA29" s="122"/>
      <c r="GB29" s="122"/>
      <c r="GC29" s="122"/>
      <c r="GD29" s="122"/>
      <c r="GE29" s="122"/>
      <c r="GF29" s="122"/>
      <c r="GG29" s="122"/>
      <c r="GH29" s="122"/>
      <c r="GI29" s="122"/>
      <c r="GJ29" s="122"/>
      <c r="GK29" s="122"/>
      <c r="GL29" s="122"/>
      <c r="GM29" s="122"/>
      <c r="GN29" s="122"/>
      <c r="GO29" s="122"/>
      <c r="GP29" s="122"/>
      <c r="GQ29" s="122"/>
      <c r="GR29" s="122"/>
      <c r="GS29" s="122"/>
      <c r="GT29" s="122"/>
      <c r="GU29" s="122"/>
      <c r="GV29" s="122"/>
      <c r="GW29" s="122"/>
      <c r="GX29" s="122"/>
      <c r="GY29" s="122"/>
      <c r="GZ29" s="122"/>
      <c r="HA29" s="122"/>
      <c r="HB29" s="122"/>
      <c r="HC29" s="122"/>
      <c r="HD29" s="122"/>
      <c r="HE29" s="122"/>
      <c r="HF29" s="122"/>
      <c r="HG29" s="122"/>
      <c r="HH29" s="122"/>
      <c r="HI29" s="122"/>
      <c r="HJ29" s="122"/>
      <c r="HK29" s="122"/>
      <c r="HL29" s="122"/>
      <c r="HM29" s="122"/>
      <c r="HN29" s="122"/>
      <c r="HO29" s="122"/>
      <c r="HP29" s="122"/>
      <c r="HQ29" s="122"/>
      <c r="HR29" s="122"/>
      <c r="HS29" s="122"/>
      <c r="HT29" s="122"/>
      <c r="HU29" s="122"/>
      <c r="HV29" s="122"/>
      <c r="HW29" s="122"/>
      <c r="HX29" s="122"/>
      <c r="HY29" s="122"/>
      <c r="HZ29" s="122"/>
      <c r="IA29" s="122"/>
      <c r="IB29" s="122"/>
      <c r="IC29" s="122"/>
      <c r="ID29" s="122"/>
      <c r="IE29" s="122"/>
      <c r="IF29" s="122"/>
      <c r="IG29" s="122"/>
      <c r="IH29" s="122"/>
      <c r="II29" s="122"/>
      <c r="IJ29" s="122"/>
      <c r="IK29" s="122"/>
      <c r="IL29" s="122"/>
      <c r="IM29" s="122"/>
      <c r="IN29" s="122"/>
      <c r="IO29" s="122"/>
      <c r="IP29" s="122"/>
      <c r="IQ29" s="122"/>
      <c r="IR29" s="122"/>
      <c r="IS29" s="122"/>
      <c r="IT29" s="122"/>
      <c r="IU29" s="122"/>
      <c r="IV29" s="122"/>
      <c r="IW29" s="122"/>
      <c r="IX29" s="122"/>
      <c r="IY29" s="122"/>
      <c r="IZ29" s="122"/>
      <c r="JA29" s="122"/>
      <c r="JB29" s="122"/>
      <c r="JC29" s="122"/>
      <c r="JD29" s="122"/>
      <c r="JE29" s="122"/>
      <c r="JF29" s="122"/>
      <c r="JG29" s="122"/>
      <c r="JH29" s="122"/>
      <c r="JI29" s="122"/>
      <c r="JJ29" s="122"/>
      <c r="JK29" s="122"/>
      <c r="JL29" s="122"/>
      <c r="JM29" s="122"/>
      <c r="JN29" s="122"/>
      <c r="JO29" s="122"/>
      <c r="JP29" s="122"/>
      <c r="JQ29" s="122"/>
      <c r="JR29" s="122"/>
      <c r="JS29" s="122"/>
      <c r="JT29" s="122"/>
      <c r="JU29" s="122"/>
      <c r="JV29" s="122"/>
      <c r="JW29" s="122"/>
      <c r="JX29" s="122"/>
      <c r="JY29" s="122"/>
      <c r="JZ29" s="122"/>
      <c r="KA29" s="122"/>
      <c r="KB29" s="122"/>
      <c r="KC29" s="122"/>
      <c r="KD29" s="122"/>
      <c r="KE29" s="122"/>
      <c r="KF29" s="122"/>
      <c r="KG29" s="122"/>
      <c r="KH29" s="122"/>
      <c r="KI29" s="122"/>
      <c r="KJ29" s="122"/>
      <c r="KK29" s="122"/>
      <c r="KL29" s="122"/>
      <c r="KM29" s="122"/>
      <c r="KN29" s="122"/>
      <c r="KO29" s="122"/>
      <c r="KP29" s="122"/>
      <c r="KQ29" s="122"/>
      <c r="KR29" s="122"/>
      <c r="KS29" s="122"/>
      <c r="KT29" s="122"/>
      <c r="KU29" s="122"/>
      <c r="KV29" s="122"/>
      <c r="KW29" s="122"/>
      <c r="KX29" s="122"/>
      <c r="KY29" s="122"/>
      <c r="KZ29" s="122"/>
      <c r="LA29" s="122"/>
      <c r="LB29" s="122"/>
      <c r="LC29" s="122"/>
      <c r="LD29" s="122"/>
      <c r="LE29" s="122"/>
      <c r="LF29" s="122"/>
      <c r="LG29" s="122"/>
      <c r="LH29" s="122"/>
      <c r="LI29" s="122"/>
      <c r="LJ29" s="122"/>
      <c r="LK29" s="122"/>
      <c r="LL29" s="122"/>
      <c r="LM29" s="122"/>
      <c r="LN29" s="122"/>
      <c r="LO29" s="122"/>
      <c r="LP29" s="122"/>
      <c r="LQ29" s="122"/>
      <c r="LR29" s="122"/>
      <c r="LS29" s="122"/>
      <c r="LT29" s="122"/>
      <c r="LU29" s="122"/>
      <c r="LV29" s="122"/>
      <c r="LW29" s="122"/>
      <c r="LX29" s="122"/>
      <c r="LY29" s="122"/>
      <c r="LZ29" s="122"/>
      <c r="MA29" s="122"/>
      <c r="MB29" s="122"/>
      <c r="MC29" s="122"/>
      <c r="MD29" s="122"/>
      <c r="ME29" s="122"/>
      <c r="MF29" s="122"/>
      <c r="MG29" s="122"/>
      <c r="MH29" s="122"/>
      <c r="MI29" s="122"/>
      <c r="MJ29" s="122"/>
      <c r="MK29" s="122"/>
      <c r="ML29" s="122"/>
      <c r="MM29" s="122"/>
      <c r="MN29" s="122"/>
      <c r="MO29" s="122"/>
      <c r="MP29" s="122"/>
      <c r="MQ29" s="122"/>
      <c r="MR29" s="122"/>
      <c r="MS29" s="122"/>
      <c r="MT29" s="122"/>
      <c r="MU29" s="122"/>
      <c r="MV29" s="122"/>
      <c r="MW29" s="122"/>
      <c r="MX29" s="122"/>
      <c r="MY29" s="122"/>
      <c r="MZ29" s="122"/>
      <c r="NA29" s="122"/>
      <c r="NB29" s="122"/>
      <c r="NC29" s="122"/>
      <c r="ND29" s="122"/>
      <c r="NE29" s="122"/>
      <c r="NF29" s="122"/>
      <c r="NG29" s="122"/>
      <c r="NH29" s="122"/>
      <c r="NI29" s="122"/>
      <c r="NJ29" s="122"/>
      <c r="NK29" s="122"/>
      <c r="NL29" s="122"/>
      <c r="NM29" s="122"/>
      <c r="NN29" s="122"/>
      <c r="NO29" s="122"/>
      <c r="NP29" s="122"/>
      <c r="NQ29" s="122"/>
      <c r="NR29" s="122"/>
      <c r="NS29" s="122"/>
      <c r="NT29" s="122"/>
      <c r="NU29" s="122"/>
      <c r="NV29" s="122"/>
      <c r="NW29" s="122"/>
      <c r="NX29" s="122"/>
      <c r="NY29" s="122"/>
      <c r="NZ29" s="122"/>
      <c r="OA29" s="122"/>
      <c r="OB29" s="122"/>
      <c r="OC29" s="122"/>
      <c r="OD29" s="122"/>
      <c r="OE29" s="122"/>
      <c r="OF29" s="122"/>
      <c r="OG29" s="122"/>
      <c r="OH29" s="122"/>
      <c r="OI29" s="122"/>
      <c r="OJ29" s="122"/>
      <c r="OK29" s="122"/>
      <c r="OL29" s="122"/>
      <c r="OM29" s="122"/>
      <c r="ON29" s="122"/>
      <c r="OO29" s="122"/>
      <c r="OP29" s="122"/>
      <c r="OQ29" s="122"/>
      <c r="OR29" s="122"/>
      <c r="OS29" s="122"/>
      <c r="OT29" s="122"/>
      <c r="OU29" s="122"/>
      <c r="OV29" s="122"/>
      <c r="OW29" s="122"/>
      <c r="OX29" s="122"/>
      <c r="OY29" s="122"/>
      <c r="OZ29" s="122"/>
      <c r="PA29" s="122"/>
      <c r="PB29" s="122"/>
      <c r="PC29" s="122"/>
      <c r="PD29" s="122"/>
      <c r="PE29" s="122"/>
      <c r="PF29" s="122"/>
      <c r="PG29" s="122"/>
      <c r="PH29" s="122"/>
      <c r="PI29" s="122"/>
      <c r="PJ29" s="122"/>
      <c r="PK29" s="122"/>
      <c r="PL29" s="122"/>
      <c r="PM29" s="122"/>
      <c r="PN29" s="122"/>
      <c r="PO29" s="122"/>
      <c r="PP29" s="122"/>
      <c r="PQ29" s="122"/>
      <c r="PR29" s="122"/>
      <c r="PS29" s="122"/>
      <c r="PT29" s="122"/>
      <c r="PU29" s="122"/>
      <c r="PV29" s="122"/>
      <c r="PW29" s="122"/>
      <c r="PX29" s="122"/>
      <c r="PY29" s="122"/>
      <c r="PZ29" s="122"/>
      <c r="QA29" s="122"/>
      <c r="QB29" s="122"/>
      <c r="QC29" s="122"/>
      <c r="QD29" s="122"/>
      <c r="QE29" s="122"/>
      <c r="QF29" s="122"/>
      <c r="QG29" s="122"/>
      <c r="QH29" s="122"/>
      <c r="QI29" s="122"/>
      <c r="QJ29" s="122"/>
      <c r="QK29" s="122"/>
      <c r="QL29" s="122"/>
      <c r="QM29" s="122"/>
      <c r="QN29" s="122"/>
      <c r="QO29" s="122"/>
      <c r="QP29" s="122"/>
      <c r="QQ29" s="122"/>
      <c r="QR29" s="122"/>
      <c r="QS29" s="122"/>
      <c r="QT29" s="122"/>
      <c r="QU29" s="122"/>
      <c r="QV29" s="122"/>
      <c r="QW29" s="122"/>
      <c r="QX29" s="122"/>
      <c r="QY29" s="122"/>
      <c r="QZ29" s="122"/>
      <c r="RA29" s="122"/>
      <c r="RB29" s="122"/>
      <c r="RC29" s="122"/>
      <c r="RD29" s="122"/>
      <c r="RE29" s="122"/>
      <c r="RF29" s="122"/>
      <c r="RG29" s="122"/>
      <c r="RH29" s="122"/>
      <c r="RI29" s="122"/>
      <c r="RJ29" s="122"/>
      <c r="RK29" s="122"/>
      <c r="RL29" s="122"/>
      <c r="RM29" s="122"/>
      <c r="RN29" s="122"/>
      <c r="RO29" s="122"/>
      <c r="RP29" s="122"/>
      <c r="RQ29" s="122"/>
      <c r="RR29" s="122"/>
      <c r="RS29" s="122"/>
      <c r="RT29" s="122"/>
      <c r="RU29" s="122"/>
      <c r="RV29" s="122"/>
      <c r="RW29" s="122"/>
      <c r="RX29" s="122"/>
      <c r="RY29" s="122"/>
      <c r="RZ29" s="122"/>
      <c r="SA29" s="122"/>
      <c r="SB29" s="122"/>
      <c r="SC29" s="122"/>
      <c r="SD29" s="122"/>
      <c r="SE29" s="122"/>
      <c r="SF29" s="122"/>
    </row>
    <row r="30" spans="1:500" s="657" customFormat="1" ht="30.25" customHeight="1" x14ac:dyDescent="0.25">
      <c r="A30" s="593" t="s">
        <v>2593</v>
      </c>
      <c r="B30" s="593" t="s">
        <v>3441</v>
      </c>
      <c r="C30" s="594" t="str">
        <f t="shared" si="3"/>
        <v>CITROEN e-SpaceTourer (Feel) XS 
(Batterie 50kWh)</v>
      </c>
      <c r="D30" s="593" t="s">
        <v>2741</v>
      </c>
      <c r="E30" s="593">
        <v>100</v>
      </c>
      <c r="F30" s="593" t="s">
        <v>2521</v>
      </c>
      <c r="G30" s="642">
        <v>23.9</v>
      </c>
      <c r="H30" s="593"/>
      <c r="I30" s="593">
        <v>0</v>
      </c>
      <c r="J30" s="595"/>
      <c r="K30" s="595"/>
      <c r="L30" s="595">
        <v>57500</v>
      </c>
      <c r="M30" s="596"/>
      <c r="N30" s="643" t="s">
        <v>2875</v>
      </c>
      <c r="O30" s="659"/>
      <c r="P30" s="603"/>
      <c r="Q30" s="603"/>
      <c r="R30" s="603"/>
      <c r="S30" s="603"/>
      <c r="T30" s="603"/>
      <c r="U30" s="603"/>
      <c r="V30" s="603"/>
      <c r="W30" s="603"/>
      <c r="X30" s="603"/>
      <c r="Y30" s="603"/>
      <c r="Z30" s="603"/>
      <c r="AA30" s="603"/>
      <c r="AB30" s="603"/>
      <c r="AC30" s="603"/>
      <c r="AD30" s="603"/>
      <c r="AE30" s="611"/>
      <c r="AF30" s="611"/>
      <c r="AG30" s="609"/>
      <c r="AH30" s="611"/>
      <c r="AI30" s="611"/>
      <c r="AJ30" s="611"/>
      <c r="AK30" s="611"/>
      <c r="AL30" s="611"/>
      <c r="AM30" s="119"/>
      <c r="AN30" s="119"/>
      <c r="AO30" s="119"/>
      <c r="AP30" s="120"/>
      <c r="AQ30" s="120"/>
      <c r="AR30" s="120"/>
      <c r="AS30" s="120"/>
      <c r="AT30" s="120"/>
      <c r="AU30" s="120"/>
      <c r="AV30" s="120"/>
      <c r="AW30" s="120"/>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2"/>
      <c r="EI30" s="122"/>
      <c r="EJ30" s="122"/>
      <c r="EK30" s="122"/>
      <c r="EL30" s="122"/>
      <c r="EM30" s="122"/>
      <c r="EN30" s="122"/>
      <c r="EO30" s="122"/>
      <c r="EP30" s="122"/>
      <c r="EQ30" s="122"/>
      <c r="ER30" s="122"/>
      <c r="ES30" s="122"/>
      <c r="ET30" s="122"/>
      <c r="EU30" s="122"/>
      <c r="EV30" s="122"/>
      <c r="EW30" s="122"/>
      <c r="EX30" s="122"/>
      <c r="EY30" s="122"/>
      <c r="EZ30" s="122"/>
      <c r="FA30" s="122"/>
      <c r="FB30" s="122"/>
      <c r="FC30" s="122"/>
      <c r="FD30" s="122"/>
      <c r="FE30" s="122"/>
      <c r="FF30" s="122"/>
      <c r="FG30" s="122"/>
      <c r="FH30" s="122"/>
      <c r="FI30" s="122"/>
      <c r="FJ30" s="122"/>
      <c r="FK30" s="122"/>
      <c r="FL30" s="122"/>
      <c r="FM30" s="122"/>
      <c r="FN30" s="122"/>
      <c r="FO30" s="122"/>
      <c r="FP30" s="122"/>
      <c r="FQ30" s="122"/>
      <c r="FR30" s="122"/>
      <c r="FS30" s="122"/>
      <c r="FT30" s="122"/>
      <c r="FU30" s="122"/>
      <c r="FV30" s="122"/>
      <c r="FW30" s="122"/>
      <c r="FX30" s="122"/>
      <c r="FY30" s="122"/>
      <c r="FZ30" s="122"/>
      <c r="GA30" s="122"/>
      <c r="GB30" s="122"/>
      <c r="GC30" s="122"/>
      <c r="GD30" s="122"/>
      <c r="GE30" s="122"/>
      <c r="GF30" s="122"/>
      <c r="GG30" s="122"/>
      <c r="GH30" s="122"/>
      <c r="GI30" s="122"/>
      <c r="GJ30" s="122"/>
      <c r="GK30" s="122"/>
      <c r="GL30" s="122"/>
      <c r="GM30" s="122"/>
      <c r="GN30" s="122"/>
      <c r="GO30" s="122"/>
      <c r="GP30" s="122"/>
      <c r="GQ30" s="122"/>
      <c r="GR30" s="122"/>
      <c r="GS30" s="122"/>
      <c r="GT30" s="122"/>
      <c r="GU30" s="122"/>
      <c r="GV30" s="122"/>
      <c r="GW30" s="122"/>
      <c r="GX30" s="122"/>
      <c r="GY30" s="122"/>
      <c r="GZ30" s="122"/>
      <c r="HA30" s="122"/>
      <c r="HB30" s="122"/>
      <c r="HC30" s="122"/>
      <c r="HD30" s="122"/>
      <c r="HE30" s="122"/>
      <c r="HF30" s="122"/>
      <c r="HG30" s="122"/>
      <c r="HH30" s="122"/>
      <c r="HI30" s="122"/>
      <c r="HJ30" s="122"/>
      <c r="HK30" s="122"/>
      <c r="HL30" s="122"/>
      <c r="HM30" s="122"/>
      <c r="HN30" s="122"/>
      <c r="HO30" s="122"/>
      <c r="HP30" s="122"/>
      <c r="HQ30" s="122"/>
      <c r="HR30" s="122"/>
      <c r="HS30" s="122"/>
      <c r="HT30" s="122"/>
      <c r="HU30" s="122"/>
      <c r="HV30" s="122"/>
      <c r="HW30" s="122"/>
      <c r="HX30" s="122"/>
      <c r="HY30" s="122"/>
      <c r="HZ30" s="122"/>
      <c r="IA30" s="122"/>
      <c r="IB30" s="122"/>
      <c r="IC30" s="122"/>
      <c r="ID30" s="122"/>
      <c r="IE30" s="122"/>
      <c r="IF30" s="122"/>
      <c r="IG30" s="122"/>
      <c r="IH30" s="122"/>
      <c r="II30" s="122"/>
      <c r="IJ30" s="122"/>
      <c r="IK30" s="122"/>
      <c r="IL30" s="122"/>
      <c r="IM30" s="122"/>
      <c r="IN30" s="122"/>
      <c r="IO30" s="122"/>
      <c r="IP30" s="122"/>
      <c r="IQ30" s="122"/>
      <c r="IR30" s="122"/>
      <c r="IS30" s="122"/>
      <c r="IT30" s="122"/>
      <c r="IU30" s="122"/>
      <c r="IV30" s="122"/>
      <c r="IW30" s="122"/>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c r="JT30" s="122"/>
      <c r="JU30" s="122"/>
      <c r="JV30" s="122"/>
      <c r="JW30" s="122"/>
      <c r="JX30" s="122"/>
      <c r="JY30" s="122"/>
      <c r="JZ30" s="122"/>
      <c r="KA30" s="122"/>
      <c r="KB30" s="122"/>
      <c r="KC30" s="122"/>
      <c r="KD30" s="122"/>
      <c r="KE30" s="122"/>
      <c r="KF30" s="122"/>
      <c r="KG30" s="122"/>
      <c r="KH30" s="122"/>
      <c r="KI30" s="122"/>
      <c r="KJ30" s="122"/>
      <c r="KK30" s="122"/>
      <c r="KL30" s="122"/>
      <c r="KM30" s="122"/>
      <c r="KN30" s="122"/>
      <c r="KO30" s="122"/>
      <c r="KP30" s="122"/>
      <c r="KQ30" s="122"/>
      <c r="KR30" s="122"/>
      <c r="KS30" s="122"/>
      <c r="KT30" s="122"/>
      <c r="KU30" s="122"/>
      <c r="KV30" s="122"/>
      <c r="KW30" s="122"/>
      <c r="KX30" s="122"/>
      <c r="KY30" s="122"/>
      <c r="KZ30" s="122"/>
      <c r="LA30" s="122"/>
      <c r="LB30" s="122"/>
      <c r="LC30" s="122"/>
      <c r="LD30" s="122"/>
      <c r="LE30" s="122"/>
      <c r="LF30" s="122"/>
      <c r="LG30" s="122"/>
      <c r="LH30" s="122"/>
      <c r="LI30" s="122"/>
      <c r="LJ30" s="122"/>
      <c r="LK30" s="122"/>
      <c r="LL30" s="122"/>
      <c r="LM30" s="122"/>
      <c r="LN30" s="122"/>
      <c r="LO30" s="122"/>
      <c r="LP30" s="122"/>
      <c r="LQ30" s="122"/>
      <c r="LR30" s="122"/>
      <c r="LS30" s="122"/>
      <c r="LT30" s="122"/>
      <c r="LU30" s="122"/>
      <c r="LV30" s="122"/>
      <c r="LW30" s="122"/>
      <c r="LX30" s="122"/>
      <c r="LY30" s="122"/>
      <c r="LZ30" s="122"/>
      <c r="MA30" s="122"/>
      <c r="MB30" s="122"/>
      <c r="MC30" s="122"/>
      <c r="MD30" s="122"/>
      <c r="ME30" s="122"/>
      <c r="MF30" s="122"/>
      <c r="MG30" s="122"/>
      <c r="MH30" s="122"/>
      <c r="MI30" s="122"/>
      <c r="MJ30" s="122"/>
      <c r="MK30" s="122"/>
      <c r="ML30" s="122"/>
      <c r="MM30" s="122"/>
      <c r="MN30" s="122"/>
      <c r="MO30" s="122"/>
      <c r="MP30" s="122"/>
      <c r="MQ30" s="122"/>
      <c r="MR30" s="122"/>
      <c r="MS30" s="122"/>
      <c r="MT30" s="122"/>
      <c r="MU30" s="122"/>
      <c r="MV30" s="122"/>
      <c r="MW30" s="122"/>
      <c r="MX30" s="122"/>
      <c r="MY30" s="122"/>
      <c r="MZ30" s="122"/>
      <c r="NA30" s="122"/>
      <c r="NB30" s="122"/>
      <c r="NC30" s="122"/>
      <c r="ND30" s="122"/>
      <c r="NE30" s="122"/>
      <c r="NF30" s="122"/>
      <c r="NG30" s="122"/>
      <c r="NH30" s="122"/>
      <c r="NI30" s="122"/>
      <c r="NJ30" s="122"/>
      <c r="NK30" s="122"/>
      <c r="NL30" s="122"/>
      <c r="NM30" s="122"/>
      <c r="NN30" s="122"/>
      <c r="NO30" s="122"/>
      <c r="NP30" s="122"/>
      <c r="NQ30" s="122"/>
      <c r="NR30" s="122"/>
      <c r="NS30" s="122"/>
      <c r="NT30" s="122"/>
      <c r="NU30" s="122"/>
      <c r="NV30" s="122"/>
      <c r="NW30" s="122"/>
      <c r="NX30" s="122"/>
      <c r="NY30" s="122"/>
      <c r="NZ30" s="122"/>
      <c r="OA30" s="122"/>
      <c r="OB30" s="122"/>
      <c r="OC30" s="122"/>
      <c r="OD30" s="122"/>
      <c r="OE30" s="122"/>
      <c r="OF30" s="122"/>
      <c r="OG30" s="122"/>
      <c r="OH30" s="122"/>
      <c r="OI30" s="122"/>
      <c r="OJ30" s="122"/>
      <c r="OK30" s="122"/>
      <c r="OL30" s="122"/>
      <c r="OM30" s="122"/>
      <c r="ON30" s="122"/>
      <c r="OO30" s="122"/>
      <c r="OP30" s="122"/>
      <c r="OQ30" s="122"/>
      <c r="OR30" s="122"/>
      <c r="OS30" s="122"/>
      <c r="OT30" s="122"/>
      <c r="OU30" s="122"/>
      <c r="OV30" s="122"/>
      <c r="OW30" s="122"/>
      <c r="OX30" s="122"/>
      <c r="OY30" s="122"/>
      <c r="OZ30" s="122"/>
      <c r="PA30" s="122"/>
      <c r="PB30" s="122"/>
      <c r="PC30" s="122"/>
      <c r="PD30" s="122"/>
      <c r="PE30" s="122"/>
      <c r="PF30" s="122"/>
      <c r="PG30" s="122"/>
      <c r="PH30" s="122"/>
      <c r="PI30" s="122"/>
      <c r="PJ30" s="122"/>
      <c r="PK30" s="122"/>
      <c r="PL30" s="122"/>
      <c r="PM30" s="122"/>
      <c r="PN30" s="122"/>
      <c r="PO30" s="122"/>
      <c r="PP30" s="122"/>
      <c r="PQ30" s="122"/>
      <c r="PR30" s="122"/>
      <c r="PS30" s="122"/>
      <c r="PT30" s="122"/>
      <c r="PU30" s="122"/>
      <c r="PV30" s="122"/>
      <c r="PW30" s="122"/>
      <c r="PX30" s="122"/>
      <c r="PY30" s="122"/>
      <c r="PZ30" s="122"/>
      <c r="QA30" s="122"/>
      <c r="QB30" s="122"/>
      <c r="QC30" s="122"/>
      <c r="QD30" s="122"/>
      <c r="QE30" s="122"/>
      <c r="QF30" s="122"/>
      <c r="QG30" s="122"/>
      <c r="QH30" s="122"/>
      <c r="QI30" s="122"/>
      <c r="QJ30" s="122"/>
      <c r="QK30" s="122"/>
      <c r="QL30" s="122"/>
      <c r="QM30" s="122"/>
      <c r="QN30" s="122"/>
      <c r="QO30" s="122"/>
      <c r="QP30" s="122"/>
      <c r="QQ30" s="122"/>
      <c r="QR30" s="122"/>
      <c r="QS30" s="122"/>
      <c r="QT30" s="122"/>
      <c r="QU30" s="122"/>
      <c r="QV30" s="122"/>
      <c r="QW30" s="122"/>
      <c r="QX30" s="122"/>
      <c r="QY30" s="122"/>
      <c r="QZ30" s="122"/>
      <c r="RA30" s="122"/>
      <c r="RB30" s="122"/>
      <c r="RC30" s="122"/>
      <c r="RD30" s="122"/>
      <c r="RE30" s="122"/>
      <c r="RF30" s="122"/>
      <c r="RG30" s="122"/>
      <c r="RH30" s="122"/>
      <c r="RI30" s="122"/>
      <c r="RJ30" s="122"/>
      <c r="RK30" s="122"/>
      <c r="RL30" s="122"/>
      <c r="RM30" s="122"/>
      <c r="RN30" s="122"/>
      <c r="RO30" s="122"/>
      <c r="RP30" s="122"/>
      <c r="RQ30" s="122"/>
      <c r="RR30" s="122"/>
      <c r="RS30" s="122"/>
      <c r="RT30" s="122"/>
      <c r="RU30" s="122"/>
      <c r="RV30" s="122"/>
      <c r="RW30" s="122"/>
      <c r="RX30" s="122"/>
      <c r="RY30" s="122"/>
      <c r="RZ30" s="122"/>
      <c r="SA30" s="122"/>
      <c r="SB30" s="122"/>
      <c r="SC30" s="122"/>
      <c r="SD30" s="122"/>
      <c r="SE30" s="122"/>
      <c r="SF30" s="122"/>
    </row>
    <row r="31" spans="1:500" s="657" customFormat="1" ht="30.25" customHeight="1" x14ac:dyDescent="0.25">
      <c r="A31" s="593" t="s">
        <v>2593</v>
      </c>
      <c r="B31" s="593" t="s">
        <v>3442</v>
      </c>
      <c r="C31" s="594" t="str">
        <f t="shared" ref="C31:C33" si="4">CONCATENATE(A31," ",B31)</f>
        <v>CITROEN e-SpaceTourer (Feel) M 
(Batterie 50kWh)</v>
      </c>
      <c r="D31" s="593" t="s">
        <v>2741</v>
      </c>
      <c r="E31" s="593">
        <v>100</v>
      </c>
      <c r="F31" s="593" t="s">
        <v>2521</v>
      </c>
      <c r="G31" s="642">
        <v>23.9</v>
      </c>
      <c r="H31" s="593"/>
      <c r="I31" s="593">
        <v>0</v>
      </c>
      <c r="J31" s="595"/>
      <c r="K31" s="595"/>
      <c r="L31" s="595">
        <v>58450</v>
      </c>
      <c r="M31" s="596"/>
      <c r="N31" s="643" t="s">
        <v>2875</v>
      </c>
      <c r="O31" s="659"/>
      <c r="P31" s="603"/>
      <c r="Q31" s="603"/>
      <c r="R31" s="603"/>
      <c r="S31" s="603"/>
      <c r="T31" s="603"/>
      <c r="U31" s="603"/>
      <c r="V31" s="603"/>
      <c r="W31" s="603"/>
      <c r="X31" s="603"/>
      <c r="Y31" s="603"/>
      <c r="Z31" s="603"/>
      <c r="AA31" s="603"/>
      <c r="AB31" s="603"/>
      <c r="AC31" s="603"/>
      <c r="AD31" s="603"/>
      <c r="AE31" s="611"/>
      <c r="AF31" s="611"/>
      <c r="AG31" s="609"/>
      <c r="AH31" s="611"/>
      <c r="AI31" s="611"/>
      <c r="AJ31" s="611"/>
      <c r="AK31" s="611"/>
      <c r="AL31" s="611"/>
      <c r="AM31" s="119"/>
      <c r="AN31" s="119"/>
      <c r="AO31" s="119"/>
      <c r="AP31" s="120"/>
      <c r="AQ31" s="120"/>
      <c r="AR31" s="120"/>
      <c r="AS31" s="120"/>
      <c r="AT31" s="120"/>
      <c r="AU31" s="120"/>
      <c r="AV31" s="120"/>
      <c r="AW31" s="120"/>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2"/>
      <c r="EI31" s="122"/>
      <c r="EJ31" s="122"/>
      <c r="EK31" s="122"/>
      <c r="EL31" s="122"/>
      <c r="EM31" s="122"/>
      <c r="EN31" s="122"/>
      <c r="EO31" s="122"/>
      <c r="EP31" s="122"/>
      <c r="EQ31" s="122"/>
      <c r="ER31" s="122"/>
      <c r="ES31" s="122"/>
      <c r="ET31" s="122"/>
      <c r="EU31" s="122"/>
      <c r="EV31" s="122"/>
      <c r="EW31" s="122"/>
      <c r="EX31" s="122"/>
      <c r="EY31" s="122"/>
      <c r="EZ31" s="122"/>
      <c r="FA31" s="122"/>
      <c r="FB31" s="122"/>
      <c r="FC31" s="122"/>
      <c r="FD31" s="122"/>
      <c r="FE31" s="122"/>
      <c r="FF31" s="122"/>
      <c r="FG31" s="122"/>
      <c r="FH31" s="122"/>
      <c r="FI31" s="122"/>
      <c r="FJ31" s="122"/>
      <c r="FK31" s="122"/>
      <c r="FL31" s="122"/>
      <c r="FM31" s="122"/>
      <c r="FN31" s="122"/>
      <c r="FO31" s="122"/>
      <c r="FP31" s="122"/>
      <c r="FQ31" s="122"/>
      <c r="FR31" s="122"/>
      <c r="FS31" s="122"/>
      <c r="FT31" s="122"/>
      <c r="FU31" s="122"/>
      <c r="FV31" s="122"/>
      <c r="FW31" s="122"/>
      <c r="FX31" s="122"/>
      <c r="FY31" s="122"/>
      <c r="FZ31" s="122"/>
      <c r="GA31" s="122"/>
      <c r="GB31" s="122"/>
      <c r="GC31" s="122"/>
      <c r="GD31" s="122"/>
      <c r="GE31" s="122"/>
      <c r="GF31" s="122"/>
      <c r="GG31" s="122"/>
      <c r="GH31" s="122"/>
      <c r="GI31" s="122"/>
      <c r="GJ31" s="122"/>
      <c r="GK31" s="122"/>
      <c r="GL31" s="122"/>
      <c r="GM31" s="122"/>
      <c r="GN31" s="122"/>
      <c r="GO31" s="122"/>
      <c r="GP31" s="122"/>
      <c r="GQ31" s="122"/>
      <c r="GR31" s="122"/>
      <c r="GS31" s="122"/>
      <c r="GT31" s="122"/>
      <c r="GU31" s="122"/>
      <c r="GV31" s="122"/>
      <c r="GW31" s="122"/>
      <c r="GX31" s="122"/>
      <c r="GY31" s="122"/>
      <c r="GZ31" s="122"/>
      <c r="HA31" s="122"/>
      <c r="HB31" s="122"/>
      <c r="HC31" s="122"/>
      <c r="HD31" s="122"/>
      <c r="HE31" s="122"/>
      <c r="HF31" s="122"/>
      <c r="HG31" s="122"/>
      <c r="HH31" s="122"/>
      <c r="HI31" s="122"/>
      <c r="HJ31" s="122"/>
      <c r="HK31" s="122"/>
      <c r="HL31" s="122"/>
      <c r="HM31" s="122"/>
      <c r="HN31" s="122"/>
      <c r="HO31" s="122"/>
      <c r="HP31" s="122"/>
      <c r="HQ31" s="122"/>
      <c r="HR31" s="122"/>
      <c r="HS31" s="122"/>
      <c r="HT31" s="122"/>
      <c r="HU31" s="122"/>
      <c r="HV31" s="122"/>
      <c r="HW31" s="122"/>
      <c r="HX31" s="122"/>
      <c r="HY31" s="122"/>
      <c r="HZ31" s="122"/>
      <c r="IA31" s="122"/>
      <c r="IB31" s="122"/>
      <c r="IC31" s="122"/>
      <c r="ID31" s="122"/>
      <c r="IE31" s="122"/>
      <c r="IF31" s="122"/>
      <c r="IG31" s="122"/>
      <c r="IH31" s="122"/>
      <c r="II31" s="122"/>
      <c r="IJ31" s="122"/>
      <c r="IK31" s="122"/>
      <c r="IL31" s="122"/>
      <c r="IM31" s="122"/>
      <c r="IN31" s="122"/>
      <c r="IO31" s="122"/>
      <c r="IP31" s="122"/>
      <c r="IQ31" s="122"/>
      <c r="IR31" s="122"/>
      <c r="IS31" s="122"/>
      <c r="IT31" s="122"/>
      <c r="IU31" s="122"/>
      <c r="IV31" s="122"/>
      <c r="IW31" s="122"/>
      <c r="IX31" s="122"/>
      <c r="IY31" s="122"/>
      <c r="IZ31" s="122"/>
      <c r="JA31" s="122"/>
      <c r="JB31" s="122"/>
      <c r="JC31" s="122"/>
      <c r="JD31" s="122"/>
      <c r="JE31" s="122"/>
      <c r="JF31" s="122"/>
      <c r="JG31" s="122"/>
      <c r="JH31" s="122"/>
      <c r="JI31" s="122"/>
      <c r="JJ31" s="122"/>
      <c r="JK31" s="122"/>
      <c r="JL31" s="122"/>
      <c r="JM31" s="122"/>
      <c r="JN31" s="122"/>
      <c r="JO31" s="122"/>
      <c r="JP31" s="122"/>
      <c r="JQ31" s="122"/>
      <c r="JR31" s="122"/>
      <c r="JS31" s="122"/>
      <c r="JT31" s="122"/>
      <c r="JU31" s="122"/>
      <c r="JV31" s="122"/>
      <c r="JW31" s="122"/>
      <c r="JX31" s="122"/>
      <c r="JY31" s="122"/>
      <c r="JZ31" s="122"/>
      <c r="KA31" s="122"/>
      <c r="KB31" s="122"/>
      <c r="KC31" s="122"/>
      <c r="KD31" s="122"/>
      <c r="KE31" s="122"/>
      <c r="KF31" s="122"/>
      <c r="KG31" s="122"/>
      <c r="KH31" s="122"/>
      <c r="KI31" s="122"/>
      <c r="KJ31" s="122"/>
      <c r="KK31" s="122"/>
      <c r="KL31" s="122"/>
      <c r="KM31" s="122"/>
      <c r="KN31" s="122"/>
      <c r="KO31" s="122"/>
      <c r="KP31" s="122"/>
      <c r="KQ31" s="122"/>
      <c r="KR31" s="122"/>
      <c r="KS31" s="122"/>
      <c r="KT31" s="122"/>
      <c r="KU31" s="122"/>
      <c r="KV31" s="122"/>
      <c r="KW31" s="122"/>
      <c r="KX31" s="122"/>
      <c r="KY31" s="122"/>
      <c r="KZ31" s="122"/>
      <c r="LA31" s="122"/>
      <c r="LB31" s="122"/>
      <c r="LC31" s="122"/>
      <c r="LD31" s="122"/>
      <c r="LE31" s="122"/>
      <c r="LF31" s="122"/>
      <c r="LG31" s="122"/>
      <c r="LH31" s="122"/>
      <c r="LI31" s="122"/>
      <c r="LJ31" s="122"/>
      <c r="LK31" s="122"/>
      <c r="LL31" s="122"/>
      <c r="LM31" s="122"/>
      <c r="LN31" s="122"/>
      <c r="LO31" s="122"/>
      <c r="LP31" s="122"/>
      <c r="LQ31" s="122"/>
      <c r="LR31" s="122"/>
      <c r="LS31" s="122"/>
      <c r="LT31" s="122"/>
      <c r="LU31" s="122"/>
      <c r="LV31" s="122"/>
      <c r="LW31" s="122"/>
      <c r="LX31" s="122"/>
      <c r="LY31" s="122"/>
      <c r="LZ31" s="122"/>
      <c r="MA31" s="122"/>
      <c r="MB31" s="122"/>
      <c r="MC31" s="122"/>
      <c r="MD31" s="122"/>
      <c r="ME31" s="122"/>
      <c r="MF31" s="122"/>
      <c r="MG31" s="122"/>
      <c r="MH31" s="122"/>
      <c r="MI31" s="122"/>
      <c r="MJ31" s="122"/>
      <c r="MK31" s="122"/>
      <c r="ML31" s="122"/>
      <c r="MM31" s="122"/>
      <c r="MN31" s="122"/>
      <c r="MO31" s="122"/>
      <c r="MP31" s="122"/>
      <c r="MQ31" s="122"/>
      <c r="MR31" s="122"/>
      <c r="MS31" s="122"/>
      <c r="MT31" s="122"/>
      <c r="MU31" s="122"/>
      <c r="MV31" s="122"/>
      <c r="MW31" s="122"/>
      <c r="MX31" s="122"/>
      <c r="MY31" s="122"/>
      <c r="MZ31" s="122"/>
      <c r="NA31" s="122"/>
      <c r="NB31" s="122"/>
      <c r="NC31" s="122"/>
      <c r="ND31" s="122"/>
      <c r="NE31" s="122"/>
      <c r="NF31" s="122"/>
      <c r="NG31" s="122"/>
      <c r="NH31" s="122"/>
      <c r="NI31" s="122"/>
      <c r="NJ31" s="122"/>
      <c r="NK31" s="122"/>
      <c r="NL31" s="122"/>
      <c r="NM31" s="122"/>
      <c r="NN31" s="122"/>
      <c r="NO31" s="122"/>
      <c r="NP31" s="122"/>
      <c r="NQ31" s="122"/>
      <c r="NR31" s="122"/>
      <c r="NS31" s="122"/>
      <c r="NT31" s="122"/>
      <c r="NU31" s="122"/>
      <c r="NV31" s="122"/>
      <c r="NW31" s="122"/>
      <c r="NX31" s="122"/>
      <c r="NY31" s="122"/>
      <c r="NZ31" s="122"/>
      <c r="OA31" s="122"/>
      <c r="OB31" s="122"/>
      <c r="OC31" s="122"/>
      <c r="OD31" s="122"/>
      <c r="OE31" s="122"/>
      <c r="OF31" s="122"/>
      <c r="OG31" s="122"/>
      <c r="OH31" s="122"/>
      <c r="OI31" s="122"/>
      <c r="OJ31" s="122"/>
      <c r="OK31" s="122"/>
      <c r="OL31" s="122"/>
      <c r="OM31" s="122"/>
      <c r="ON31" s="122"/>
      <c r="OO31" s="122"/>
      <c r="OP31" s="122"/>
      <c r="OQ31" s="122"/>
      <c r="OR31" s="122"/>
      <c r="OS31" s="122"/>
      <c r="OT31" s="122"/>
      <c r="OU31" s="122"/>
      <c r="OV31" s="122"/>
      <c r="OW31" s="122"/>
      <c r="OX31" s="122"/>
      <c r="OY31" s="122"/>
      <c r="OZ31" s="122"/>
      <c r="PA31" s="122"/>
      <c r="PB31" s="122"/>
      <c r="PC31" s="122"/>
      <c r="PD31" s="122"/>
      <c r="PE31" s="122"/>
      <c r="PF31" s="122"/>
      <c r="PG31" s="122"/>
      <c r="PH31" s="122"/>
      <c r="PI31" s="122"/>
      <c r="PJ31" s="122"/>
      <c r="PK31" s="122"/>
      <c r="PL31" s="122"/>
      <c r="PM31" s="122"/>
      <c r="PN31" s="122"/>
      <c r="PO31" s="122"/>
      <c r="PP31" s="122"/>
      <c r="PQ31" s="122"/>
      <c r="PR31" s="122"/>
      <c r="PS31" s="122"/>
      <c r="PT31" s="122"/>
      <c r="PU31" s="122"/>
      <c r="PV31" s="122"/>
      <c r="PW31" s="122"/>
      <c r="PX31" s="122"/>
      <c r="PY31" s="122"/>
      <c r="PZ31" s="122"/>
      <c r="QA31" s="122"/>
      <c r="QB31" s="122"/>
      <c r="QC31" s="122"/>
      <c r="QD31" s="122"/>
      <c r="QE31" s="122"/>
      <c r="QF31" s="122"/>
      <c r="QG31" s="122"/>
      <c r="QH31" s="122"/>
      <c r="QI31" s="122"/>
      <c r="QJ31" s="122"/>
      <c r="QK31" s="122"/>
      <c r="QL31" s="122"/>
      <c r="QM31" s="122"/>
      <c r="QN31" s="122"/>
      <c r="QO31" s="122"/>
      <c r="QP31" s="122"/>
      <c r="QQ31" s="122"/>
      <c r="QR31" s="122"/>
      <c r="QS31" s="122"/>
      <c r="QT31" s="122"/>
      <c r="QU31" s="122"/>
      <c r="QV31" s="122"/>
      <c r="QW31" s="122"/>
      <c r="QX31" s="122"/>
      <c r="QY31" s="122"/>
      <c r="QZ31" s="122"/>
      <c r="RA31" s="122"/>
      <c r="RB31" s="122"/>
      <c r="RC31" s="122"/>
      <c r="RD31" s="122"/>
      <c r="RE31" s="122"/>
      <c r="RF31" s="122"/>
      <c r="RG31" s="122"/>
      <c r="RH31" s="122"/>
      <c r="RI31" s="122"/>
      <c r="RJ31" s="122"/>
      <c r="RK31" s="122"/>
      <c r="RL31" s="122"/>
      <c r="RM31" s="122"/>
      <c r="RN31" s="122"/>
      <c r="RO31" s="122"/>
      <c r="RP31" s="122"/>
      <c r="RQ31" s="122"/>
      <c r="RR31" s="122"/>
      <c r="RS31" s="122"/>
      <c r="RT31" s="122"/>
      <c r="RU31" s="122"/>
      <c r="RV31" s="122"/>
      <c r="RW31" s="122"/>
      <c r="RX31" s="122"/>
      <c r="RY31" s="122"/>
      <c r="RZ31" s="122"/>
      <c r="SA31" s="122"/>
      <c r="SB31" s="122"/>
      <c r="SC31" s="122"/>
      <c r="SD31" s="122"/>
      <c r="SE31" s="122"/>
      <c r="SF31" s="122"/>
    </row>
    <row r="32" spans="1:500" s="657" customFormat="1" ht="30.25" customHeight="1" x14ac:dyDescent="0.25">
      <c r="A32" s="593" t="s">
        <v>2593</v>
      </c>
      <c r="B32" s="593" t="s">
        <v>3443</v>
      </c>
      <c r="C32" s="594" t="str">
        <f t="shared" si="4"/>
        <v>CITROEN e-SpaceTourer (Feel) XL 
(Batterie 75kWh)</v>
      </c>
      <c r="D32" s="593" t="s">
        <v>2741</v>
      </c>
      <c r="E32" s="593">
        <v>100</v>
      </c>
      <c r="F32" s="593" t="s">
        <v>2521</v>
      </c>
      <c r="G32" s="642">
        <v>25.9</v>
      </c>
      <c r="H32" s="593"/>
      <c r="I32" s="593">
        <v>0</v>
      </c>
      <c r="J32" s="595"/>
      <c r="K32" s="595"/>
      <c r="L32" s="595">
        <v>64950</v>
      </c>
      <c r="M32" s="596"/>
      <c r="N32" s="643" t="s">
        <v>2875</v>
      </c>
      <c r="O32" s="659"/>
      <c r="P32" s="603"/>
      <c r="Q32" s="603"/>
      <c r="R32" s="603"/>
      <c r="S32" s="603"/>
      <c r="T32" s="603"/>
      <c r="U32" s="603"/>
      <c r="V32" s="603"/>
      <c r="W32" s="603"/>
      <c r="X32" s="603"/>
      <c r="Y32" s="603"/>
      <c r="Z32" s="603"/>
      <c r="AA32" s="603"/>
      <c r="AB32" s="603"/>
      <c r="AC32" s="603"/>
      <c r="AD32" s="603"/>
      <c r="AE32" s="611"/>
      <c r="AF32" s="611"/>
      <c r="AG32" s="609"/>
      <c r="AH32" s="611"/>
      <c r="AI32" s="611"/>
      <c r="AJ32" s="611"/>
      <c r="AK32" s="611"/>
      <c r="AL32" s="611"/>
      <c r="AM32" s="119"/>
      <c r="AN32" s="119"/>
      <c r="AO32" s="119"/>
      <c r="AP32" s="120"/>
      <c r="AQ32" s="120"/>
      <c r="AR32" s="120"/>
      <c r="AS32" s="120"/>
      <c r="AT32" s="120"/>
      <c r="AU32" s="120"/>
      <c r="AV32" s="120"/>
      <c r="AW32" s="120"/>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2"/>
      <c r="EI32" s="122"/>
      <c r="EJ32" s="122"/>
      <c r="EK32" s="122"/>
      <c r="EL32" s="122"/>
      <c r="EM32" s="122"/>
      <c r="EN32" s="122"/>
      <c r="EO32" s="122"/>
      <c r="EP32" s="122"/>
      <c r="EQ32" s="122"/>
      <c r="ER32" s="122"/>
      <c r="ES32" s="122"/>
      <c r="ET32" s="122"/>
      <c r="EU32" s="122"/>
      <c r="EV32" s="122"/>
      <c r="EW32" s="122"/>
      <c r="EX32" s="122"/>
      <c r="EY32" s="122"/>
      <c r="EZ32" s="122"/>
      <c r="FA32" s="122"/>
      <c r="FB32" s="122"/>
      <c r="FC32" s="122"/>
      <c r="FD32" s="122"/>
      <c r="FE32" s="122"/>
      <c r="FF32" s="122"/>
      <c r="FG32" s="122"/>
      <c r="FH32" s="122"/>
      <c r="FI32" s="122"/>
      <c r="FJ32" s="122"/>
      <c r="FK32" s="122"/>
      <c r="FL32" s="122"/>
      <c r="FM32" s="122"/>
      <c r="FN32" s="122"/>
      <c r="FO32" s="122"/>
      <c r="FP32" s="122"/>
      <c r="FQ32" s="122"/>
      <c r="FR32" s="122"/>
      <c r="FS32" s="122"/>
      <c r="FT32" s="122"/>
      <c r="FU32" s="122"/>
      <c r="FV32" s="122"/>
      <c r="FW32" s="122"/>
      <c r="FX32" s="122"/>
      <c r="FY32" s="122"/>
      <c r="FZ32" s="122"/>
      <c r="GA32" s="122"/>
      <c r="GB32" s="122"/>
      <c r="GC32" s="122"/>
      <c r="GD32" s="122"/>
      <c r="GE32" s="122"/>
      <c r="GF32" s="122"/>
      <c r="GG32" s="122"/>
      <c r="GH32" s="122"/>
      <c r="GI32" s="122"/>
      <c r="GJ32" s="122"/>
      <c r="GK32" s="122"/>
      <c r="GL32" s="122"/>
      <c r="GM32" s="122"/>
      <c r="GN32" s="122"/>
      <c r="GO32" s="122"/>
      <c r="GP32" s="122"/>
      <c r="GQ32" s="122"/>
      <c r="GR32" s="122"/>
      <c r="GS32" s="122"/>
      <c r="GT32" s="122"/>
      <c r="GU32" s="122"/>
      <c r="GV32" s="122"/>
      <c r="GW32" s="122"/>
      <c r="GX32" s="122"/>
      <c r="GY32" s="122"/>
      <c r="GZ32" s="122"/>
      <c r="HA32" s="122"/>
      <c r="HB32" s="122"/>
      <c r="HC32" s="122"/>
      <c r="HD32" s="122"/>
      <c r="HE32" s="122"/>
      <c r="HF32" s="122"/>
      <c r="HG32" s="122"/>
      <c r="HH32" s="122"/>
      <c r="HI32" s="122"/>
      <c r="HJ32" s="122"/>
      <c r="HK32" s="122"/>
      <c r="HL32" s="122"/>
      <c r="HM32" s="122"/>
      <c r="HN32" s="122"/>
      <c r="HO32" s="122"/>
      <c r="HP32" s="122"/>
      <c r="HQ32" s="122"/>
      <c r="HR32" s="122"/>
      <c r="HS32" s="122"/>
      <c r="HT32" s="122"/>
      <c r="HU32" s="122"/>
      <c r="HV32" s="122"/>
      <c r="HW32" s="122"/>
      <c r="HX32" s="122"/>
      <c r="HY32" s="122"/>
      <c r="HZ32" s="122"/>
      <c r="IA32" s="122"/>
      <c r="IB32" s="122"/>
      <c r="IC32" s="122"/>
      <c r="ID32" s="122"/>
      <c r="IE32" s="122"/>
      <c r="IF32" s="122"/>
      <c r="IG32" s="122"/>
      <c r="IH32" s="122"/>
      <c r="II32" s="122"/>
      <c r="IJ32" s="122"/>
      <c r="IK32" s="122"/>
      <c r="IL32" s="122"/>
      <c r="IM32" s="122"/>
      <c r="IN32" s="122"/>
      <c r="IO32" s="122"/>
      <c r="IP32" s="122"/>
      <c r="IQ32" s="122"/>
      <c r="IR32" s="122"/>
      <c r="IS32" s="122"/>
      <c r="IT32" s="122"/>
      <c r="IU32" s="122"/>
      <c r="IV32" s="122"/>
      <c r="IW32" s="122"/>
      <c r="IX32" s="122"/>
      <c r="IY32" s="122"/>
      <c r="IZ32" s="122"/>
      <c r="JA32" s="122"/>
      <c r="JB32" s="122"/>
      <c r="JC32" s="122"/>
      <c r="JD32" s="122"/>
      <c r="JE32" s="122"/>
      <c r="JF32" s="122"/>
      <c r="JG32" s="122"/>
      <c r="JH32" s="122"/>
      <c r="JI32" s="122"/>
      <c r="JJ32" s="122"/>
      <c r="JK32" s="122"/>
      <c r="JL32" s="122"/>
      <c r="JM32" s="122"/>
      <c r="JN32" s="122"/>
      <c r="JO32" s="122"/>
      <c r="JP32" s="122"/>
      <c r="JQ32" s="122"/>
      <c r="JR32" s="122"/>
      <c r="JS32" s="122"/>
      <c r="JT32" s="122"/>
      <c r="JU32" s="122"/>
      <c r="JV32" s="122"/>
      <c r="JW32" s="122"/>
      <c r="JX32" s="122"/>
      <c r="JY32" s="122"/>
      <c r="JZ32" s="122"/>
      <c r="KA32" s="122"/>
      <c r="KB32" s="122"/>
      <c r="KC32" s="122"/>
      <c r="KD32" s="122"/>
      <c r="KE32" s="122"/>
      <c r="KF32" s="122"/>
      <c r="KG32" s="122"/>
      <c r="KH32" s="122"/>
      <c r="KI32" s="122"/>
      <c r="KJ32" s="122"/>
      <c r="KK32" s="122"/>
      <c r="KL32" s="122"/>
      <c r="KM32" s="122"/>
      <c r="KN32" s="122"/>
      <c r="KO32" s="122"/>
      <c r="KP32" s="122"/>
      <c r="KQ32" s="122"/>
      <c r="KR32" s="122"/>
      <c r="KS32" s="122"/>
      <c r="KT32" s="122"/>
      <c r="KU32" s="122"/>
      <c r="KV32" s="122"/>
      <c r="KW32" s="122"/>
      <c r="KX32" s="122"/>
      <c r="KY32" s="122"/>
      <c r="KZ32" s="122"/>
      <c r="LA32" s="122"/>
      <c r="LB32" s="122"/>
      <c r="LC32" s="122"/>
      <c r="LD32" s="122"/>
      <c r="LE32" s="122"/>
      <c r="LF32" s="122"/>
      <c r="LG32" s="122"/>
      <c r="LH32" s="122"/>
      <c r="LI32" s="122"/>
      <c r="LJ32" s="122"/>
      <c r="LK32" s="122"/>
      <c r="LL32" s="122"/>
      <c r="LM32" s="122"/>
      <c r="LN32" s="122"/>
      <c r="LO32" s="122"/>
      <c r="LP32" s="122"/>
      <c r="LQ32" s="122"/>
      <c r="LR32" s="122"/>
      <c r="LS32" s="122"/>
      <c r="LT32" s="122"/>
      <c r="LU32" s="122"/>
      <c r="LV32" s="122"/>
      <c r="LW32" s="122"/>
      <c r="LX32" s="122"/>
      <c r="LY32" s="122"/>
      <c r="LZ32" s="122"/>
      <c r="MA32" s="122"/>
      <c r="MB32" s="122"/>
      <c r="MC32" s="122"/>
      <c r="MD32" s="122"/>
      <c r="ME32" s="122"/>
      <c r="MF32" s="122"/>
      <c r="MG32" s="122"/>
      <c r="MH32" s="122"/>
      <c r="MI32" s="122"/>
      <c r="MJ32" s="122"/>
      <c r="MK32" s="122"/>
      <c r="ML32" s="122"/>
      <c r="MM32" s="122"/>
      <c r="MN32" s="122"/>
      <c r="MO32" s="122"/>
      <c r="MP32" s="122"/>
      <c r="MQ32" s="122"/>
      <c r="MR32" s="122"/>
      <c r="MS32" s="122"/>
      <c r="MT32" s="122"/>
      <c r="MU32" s="122"/>
      <c r="MV32" s="122"/>
      <c r="MW32" s="122"/>
      <c r="MX32" s="122"/>
      <c r="MY32" s="122"/>
      <c r="MZ32" s="122"/>
      <c r="NA32" s="122"/>
      <c r="NB32" s="122"/>
      <c r="NC32" s="122"/>
      <c r="ND32" s="122"/>
      <c r="NE32" s="122"/>
      <c r="NF32" s="122"/>
      <c r="NG32" s="122"/>
      <c r="NH32" s="122"/>
      <c r="NI32" s="122"/>
      <c r="NJ32" s="122"/>
      <c r="NK32" s="122"/>
      <c r="NL32" s="122"/>
      <c r="NM32" s="122"/>
      <c r="NN32" s="122"/>
      <c r="NO32" s="122"/>
      <c r="NP32" s="122"/>
      <c r="NQ32" s="122"/>
      <c r="NR32" s="122"/>
      <c r="NS32" s="122"/>
      <c r="NT32" s="122"/>
      <c r="NU32" s="122"/>
      <c r="NV32" s="122"/>
      <c r="NW32" s="122"/>
      <c r="NX32" s="122"/>
      <c r="NY32" s="122"/>
      <c r="NZ32" s="122"/>
      <c r="OA32" s="122"/>
      <c r="OB32" s="122"/>
      <c r="OC32" s="122"/>
      <c r="OD32" s="122"/>
      <c r="OE32" s="122"/>
      <c r="OF32" s="122"/>
      <c r="OG32" s="122"/>
      <c r="OH32" s="122"/>
      <c r="OI32" s="122"/>
      <c r="OJ32" s="122"/>
      <c r="OK32" s="122"/>
      <c r="OL32" s="122"/>
      <c r="OM32" s="122"/>
      <c r="ON32" s="122"/>
      <c r="OO32" s="122"/>
      <c r="OP32" s="122"/>
      <c r="OQ32" s="122"/>
      <c r="OR32" s="122"/>
      <c r="OS32" s="122"/>
      <c r="OT32" s="122"/>
      <c r="OU32" s="122"/>
      <c r="OV32" s="122"/>
      <c r="OW32" s="122"/>
      <c r="OX32" s="122"/>
      <c r="OY32" s="122"/>
      <c r="OZ32" s="122"/>
      <c r="PA32" s="122"/>
      <c r="PB32" s="122"/>
      <c r="PC32" s="122"/>
      <c r="PD32" s="122"/>
      <c r="PE32" s="122"/>
      <c r="PF32" s="122"/>
      <c r="PG32" s="122"/>
      <c r="PH32" s="122"/>
      <c r="PI32" s="122"/>
      <c r="PJ32" s="122"/>
      <c r="PK32" s="122"/>
      <c r="PL32" s="122"/>
      <c r="PM32" s="122"/>
      <c r="PN32" s="122"/>
      <c r="PO32" s="122"/>
      <c r="PP32" s="122"/>
      <c r="PQ32" s="122"/>
      <c r="PR32" s="122"/>
      <c r="PS32" s="122"/>
      <c r="PT32" s="122"/>
      <c r="PU32" s="122"/>
      <c r="PV32" s="122"/>
      <c r="PW32" s="122"/>
      <c r="PX32" s="122"/>
      <c r="PY32" s="122"/>
      <c r="PZ32" s="122"/>
      <c r="QA32" s="122"/>
      <c r="QB32" s="122"/>
      <c r="QC32" s="122"/>
      <c r="QD32" s="122"/>
      <c r="QE32" s="122"/>
      <c r="QF32" s="122"/>
      <c r="QG32" s="122"/>
      <c r="QH32" s="122"/>
      <c r="QI32" s="122"/>
      <c r="QJ32" s="122"/>
      <c r="QK32" s="122"/>
      <c r="QL32" s="122"/>
      <c r="QM32" s="122"/>
      <c r="QN32" s="122"/>
      <c r="QO32" s="122"/>
      <c r="QP32" s="122"/>
      <c r="QQ32" s="122"/>
      <c r="QR32" s="122"/>
      <c r="QS32" s="122"/>
      <c r="QT32" s="122"/>
      <c r="QU32" s="122"/>
      <c r="QV32" s="122"/>
      <c r="QW32" s="122"/>
      <c r="QX32" s="122"/>
      <c r="QY32" s="122"/>
      <c r="QZ32" s="122"/>
      <c r="RA32" s="122"/>
      <c r="RB32" s="122"/>
      <c r="RC32" s="122"/>
      <c r="RD32" s="122"/>
      <c r="RE32" s="122"/>
      <c r="RF32" s="122"/>
      <c r="RG32" s="122"/>
      <c r="RH32" s="122"/>
      <c r="RI32" s="122"/>
      <c r="RJ32" s="122"/>
      <c r="RK32" s="122"/>
      <c r="RL32" s="122"/>
      <c r="RM32" s="122"/>
      <c r="RN32" s="122"/>
      <c r="RO32" s="122"/>
      <c r="RP32" s="122"/>
      <c r="RQ32" s="122"/>
      <c r="RR32" s="122"/>
      <c r="RS32" s="122"/>
      <c r="RT32" s="122"/>
      <c r="RU32" s="122"/>
      <c r="RV32" s="122"/>
      <c r="RW32" s="122"/>
      <c r="RX32" s="122"/>
      <c r="RY32" s="122"/>
      <c r="RZ32" s="122"/>
      <c r="SA32" s="122"/>
      <c r="SB32" s="122"/>
      <c r="SC32" s="122"/>
      <c r="SD32" s="122"/>
      <c r="SE32" s="122"/>
      <c r="SF32" s="122"/>
    </row>
    <row r="33" spans="1:500" s="657" customFormat="1" ht="30.25" customHeight="1" x14ac:dyDescent="0.25">
      <c r="A33" s="593" t="s">
        <v>2593</v>
      </c>
      <c r="B33" s="593" t="s">
        <v>3430</v>
      </c>
      <c r="C33" s="594" t="str">
        <f t="shared" si="4"/>
        <v>CITROEN e-SpaceTourer (Shine) M 
(Batterie 50kWh)</v>
      </c>
      <c r="D33" s="593" t="s">
        <v>2741</v>
      </c>
      <c r="E33" s="593">
        <v>100</v>
      </c>
      <c r="F33" s="593" t="s">
        <v>2521</v>
      </c>
      <c r="G33" s="642">
        <v>23.9</v>
      </c>
      <c r="H33" s="593"/>
      <c r="I33" s="593">
        <v>0</v>
      </c>
      <c r="J33" s="595"/>
      <c r="K33" s="595"/>
      <c r="L33" s="595">
        <v>66200</v>
      </c>
      <c r="M33" s="596"/>
      <c r="N33" s="643" t="s">
        <v>2875</v>
      </c>
      <c r="O33" s="659"/>
      <c r="P33" s="603"/>
      <c r="Q33" s="603"/>
      <c r="R33" s="603"/>
      <c r="S33" s="603"/>
      <c r="T33" s="603"/>
      <c r="U33" s="603"/>
      <c r="V33" s="603"/>
      <c r="W33" s="603"/>
      <c r="X33" s="603"/>
      <c r="Y33" s="603"/>
      <c r="Z33" s="603"/>
      <c r="AA33" s="603"/>
      <c r="AB33" s="603"/>
      <c r="AC33" s="603"/>
      <c r="AD33" s="603"/>
      <c r="AE33" s="611"/>
      <c r="AF33" s="611"/>
      <c r="AG33" s="609"/>
      <c r="AH33" s="611"/>
      <c r="AI33" s="611"/>
      <c r="AJ33" s="611"/>
      <c r="AK33" s="611"/>
      <c r="AL33" s="611"/>
      <c r="AM33" s="119"/>
      <c r="AN33" s="119"/>
      <c r="AO33" s="119"/>
      <c r="AP33" s="120"/>
      <c r="AQ33" s="120"/>
      <c r="AR33" s="120"/>
      <c r="AS33" s="120"/>
      <c r="AT33" s="120"/>
      <c r="AU33" s="120"/>
      <c r="AV33" s="120"/>
      <c r="AW33" s="120"/>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2"/>
      <c r="EI33" s="122"/>
      <c r="EJ33" s="122"/>
      <c r="EK33" s="122"/>
      <c r="EL33" s="122"/>
      <c r="EM33" s="122"/>
      <c r="EN33" s="122"/>
      <c r="EO33" s="122"/>
      <c r="EP33" s="122"/>
      <c r="EQ33" s="122"/>
      <c r="ER33" s="122"/>
      <c r="ES33" s="122"/>
      <c r="ET33" s="122"/>
      <c r="EU33" s="122"/>
      <c r="EV33" s="122"/>
      <c r="EW33" s="122"/>
      <c r="EX33" s="122"/>
      <c r="EY33" s="122"/>
      <c r="EZ33" s="122"/>
      <c r="FA33" s="122"/>
      <c r="FB33" s="122"/>
      <c r="FC33" s="122"/>
      <c r="FD33" s="122"/>
      <c r="FE33" s="122"/>
      <c r="FF33" s="122"/>
      <c r="FG33" s="122"/>
      <c r="FH33" s="122"/>
      <c r="FI33" s="122"/>
      <c r="FJ33" s="122"/>
      <c r="FK33" s="122"/>
      <c r="FL33" s="122"/>
      <c r="FM33" s="122"/>
      <c r="FN33" s="122"/>
      <c r="FO33" s="122"/>
      <c r="FP33" s="122"/>
      <c r="FQ33" s="122"/>
      <c r="FR33" s="122"/>
      <c r="FS33" s="122"/>
      <c r="FT33" s="122"/>
      <c r="FU33" s="122"/>
      <c r="FV33" s="122"/>
      <c r="FW33" s="122"/>
      <c r="FX33" s="122"/>
      <c r="FY33" s="122"/>
      <c r="FZ33" s="122"/>
      <c r="GA33" s="122"/>
      <c r="GB33" s="122"/>
      <c r="GC33" s="122"/>
      <c r="GD33" s="122"/>
      <c r="GE33" s="122"/>
      <c r="GF33" s="122"/>
      <c r="GG33" s="122"/>
      <c r="GH33" s="122"/>
      <c r="GI33" s="122"/>
      <c r="GJ33" s="122"/>
      <c r="GK33" s="122"/>
      <c r="GL33" s="122"/>
      <c r="GM33" s="122"/>
      <c r="GN33" s="122"/>
      <c r="GO33" s="122"/>
      <c r="GP33" s="122"/>
      <c r="GQ33" s="122"/>
      <c r="GR33" s="122"/>
      <c r="GS33" s="122"/>
      <c r="GT33" s="122"/>
      <c r="GU33" s="122"/>
      <c r="GV33" s="122"/>
      <c r="GW33" s="122"/>
      <c r="GX33" s="122"/>
      <c r="GY33" s="122"/>
      <c r="GZ33" s="122"/>
      <c r="HA33" s="122"/>
      <c r="HB33" s="122"/>
      <c r="HC33" s="122"/>
      <c r="HD33" s="122"/>
      <c r="HE33" s="122"/>
      <c r="HF33" s="122"/>
      <c r="HG33" s="122"/>
      <c r="HH33" s="122"/>
      <c r="HI33" s="122"/>
      <c r="HJ33" s="122"/>
      <c r="HK33" s="122"/>
      <c r="HL33" s="122"/>
      <c r="HM33" s="122"/>
      <c r="HN33" s="122"/>
      <c r="HO33" s="122"/>
      <c r="HP33" s="122"/>
      <c r="HQ33" s="122"/>
      <c r="HR33" s="122"/>
      <c r="HS33" s="122"/>
      <c r="HT33" s="122"/>
      <c r="HU33" s="122"/>
      <c r="HV33" s="122"/>
      <c r="HW33" s="122"/>
      <c r="HX33" s="122"/>
      <c r="HY33" s="122"/>
      <c r="HZ33" s="122"/>
      <c r="IA33" s="122"/>
      <c r="IB33" s="122"/>
      <c r="IC33" s="122"/>
      <c r="ID33" s="122"/>
      <c r="IE33" s="122"/>
      <c r="IF33" s="122"/>
      <c r="IG33" s="122"/>
      <c r="IH33" s="122"/>
      <c r="II33" s="122"/>
      <c r="IJ33" s="122"/>
      <c r="IK33" s="122"/>
      <c r="IL33" s="122"/>
      <c r="IM33" s="122"/>
      <c r="IN33" s="122"/>
      <c r="IO33" s="122"/>
      <c r="IP33" s="122"/>
      <c r="IQ33" s="122"/>
      <c r="IR33" s="122"/>
      <c r="IS33" s="122"/>
      <c r="IT33" s="122"/>
      <c r="IU33" s="122"/>
      <c r="IV33" s="122"/>
      <c r="IW33" s="122"/>
      <c r="IX33" s="122"/>
      <c r="IY33" s="122"/>
      <c r="IZ33" s="122"/>
      <c r="JA33" s="122"/>
      <c r="JB33" s="122"/>
      <c r="JC33" s="122"/>
      <c r="JD33" s="122"/>
      <c r="JE33" s="122"/>
      <c r="JF33" s="122"/>
      <c r="JG33" s="122"/>
      <c r="JH33" s="122"/>
      <c r="JI33" s="122"/>
      <c r="JJ33" s="122"/>
      <c r="JK33" s="122"/>
      <c r="JL33" s="122"/>
      <c r="JM33" s="122"/>
      <c r="JN33" s="122"/>
      <c r="JO33" s="122"/>
      <c r="JP33" s="122"/>
      <c r="JQ33" s="122"/>
      <c r="JR33" s="122"/>
      <c r="JS33" s="122"/>
      <c r="JT33" s="122"/>
      <c r="JU33" s="122"/>
      <c r="JV33" s="122"/>
      <c r="JW33" s="122"/>
      <c r="JX33" s="122"/>
      <c r="JY33" s="122"/>
      <c r="JZ33" s="122"/>
      <c r="KA33" s="122"/>
      <c r="KB33" s="122"/>
      <c r="KC33" s="122"/>
      <c r="KD33" s="122"/>
      <c r="KE33" s="122"/>
      <c r="KF33" s="122"/>
      <c r="KG33" s="122"/>
      <c r="KH33" s="122"/>
      <c r="KI33" s="122"/>
      <c r="KJ33" s="122"/>
      <c r="KK33" s="122"/>
      <c r="KL33" s="122"/>
      <c r="KM33" s="122"/>
      <c r="KN33" s="122"/>
      <c r="KO33" s="122"/>
      <c r="KP33" s="122"/>
      <c r="KQ33" s="122"/>
      <c r="KR33" s="122"/>
      <c r="KS33" s="122"/>
      <c r="KT33" s="122"/>
      <c r="KU33" s="122"/>
      <c r="KV33" s="122"/>
      <c r="KW33" s="122"/>
      <c r="KX33" s="122"/>
      <c r="KY33" s="122"/>
      <c r="KZ33" s="122"/>
      <c r="LA33" s="122"/>
      <c r="LB33" s="122"/>
      <c r="LC33" s="122"/>
      <c r="LD33" s="122"/>
      <c r="LE33" s="122"/>
      <c r="LF33" s="122"/>
      <c r="LG33" s="122"/>
      <c r="LH33" s="122"/>
      <c r="LI33" s="122"/>
      <c r="LJ33" s="122"/>
      <c r="LK33" s="122"/>
      <c r="LL33" s="122"/>
      <c r="LM33" s="122"/>
      <c r="LN33" s="122"/>
      <c r="LO33" s="122"/>
      <c r="LP33" s="122"/>
      <c r="LQ33" s="122"/>
      <c r="LR33" s="122"/>
      <c r="LS33" s="122"/>
      <c r="LT33" s="122"/>
      <c r="LU33" s="122"/>
      <c r="LV33" s="122"/>
      <c r="LW33" s="122"/>
      <c r="LX33" s="122"/>
      <c r="LY33" s="122"/>
      <c r="LZ33" s="122"/>
      <c r="MA33" s="122"/>
      <c r="MB33" s="122"/>
      <c r="MC33" s="122"/>
      <c r="MD33" s="122"/>
      <c r="ME33" s="122"/>
      <c r="MF33" s="122"/>
      <c r="MG33" s="122"/>
      <c r="MH33" s="122"/>
      <c r="MI33" s="122"/>
      <c r="MJ33" s="122"/>
      <c r="MK33" s="122"/>
      <c r="ML33" s="122"/>
      <c r="MM33" s="122"/>
      <c r="MN33" s="122"/>
      <c r="MO33" s="122"/>
      <c r="MP33" s="122"/>
      <c r="MQ33" s="122"/>
      <c r="MR33" s="122"/>
      <c r="MS33" s="122"/>
      <c r="MT33" s="122"/>
      <c r="MU33" s="122"/>
      <c r="MV33" s="122"/>
      <c r="MW33" s="122"/>
      <c r="MX33" s="122"/>
      <c r="MY33" s="122"/>
      <c r="MZ33" s="122"/>
      <c r="NA33" s="122"/>
      <c r="NB33" s="122"/>
      <c r="NC33" s="122"/>
      <c r="ND33" s="122"/>
      <c r="NE33" s="122"/>
      <c r="NF33" s="122"/>
      <c r="NG33" s="122"/>
      <c r="NH33" s="122"/>
      <c r="NI33" s="122"/>
      <c r="NJ33" s="122"/>
      <c r="NK33" s="122"/>
      <c r="NL33" s="122"/>
      <c r="NM33" s="122"/>
      <c r="NN33" s="122"/>
      <c r="NO33" s="122"/>
      <c r="NP33" s="122"/>
      <c r="NQ33" s="122"/>
      <c r="NR33" s="122"/>
      <c r="NS33" s="122"/>
      <c r="NT33" s="122"/>
      <c r="NU33" s="122"/>
      <c r="NV33" s="122"/>
      <c r="NW33" s="122"/>
      <c r="NX33" s="122"/>
      <c r="NY33" s="122"/>
      <c r="NZ33" s="122"/>
      <c r="OA33" s="122"/>
      <c r="OB33" s="122"/>
      <c r="OC33" s="122"/>
      <c r="OD33" s="122"/>
      <c r="OE33" s="122"/>
      <c r="OF33" s="122"/>
      <c r="OG33" s="122"/>
      <c r="OH33" s="122"/>
      <c r="OI33" s="122"/>
      <c r="OJ33" s="122"/>
      <c r="OK33" s="122"/>
      <c r="OL33" s="122"/>
      <c r="OM33" s="122"/>
      <c r="ON33" s="122"/>
      <c r="OO33" s="122"/>
      <c r="OP33" s="122"/>
      <c r="OQ33" s="122"/>
      <c r="OR33" s="122"/>
      <c r="OS33" s="122"/>
      <c r="OT33" s="122"/>
      <c r="OU33" s="122"/>
      <c r="OV33" s="122"/>
      <c r="OW33" s="122"/>
      <c r="OX33" s="122"/>
      <c r="OY33" s="122"/>
      <c r="OZ33" s="122"/>
      <c r="PA33" s="122"/>
      <c r="PB33" s="122"/>
      <c r="PC33" s="122"/>
      <c r="PD33" s="122"/>
      <c r="PE33" s="122"/>
      <c r="PF33" s="122"/>
      <c r="PG33" s="122"/>
      <c r="PH33" s="122"/>
      <c r="PI33" s="122"/>
      <c r="PJ33" s="122"/>
      <c r="PK33" s="122"/>
      <c r="PL33" s="122"/>
      <c r="PM33" s="122"/>
      <c r="PN33" s="122"/>
      <c r="PO33" s="122"/>
      <c r="PP33" s="122"/>
      <c r="PQ33" s="122"/>
      <c r="PR33" s="122"/>
      <c r="PS33" s="122"/>
      <c r="PT33" s="122"/>
      <c r="PU33" s="122"/>
      <c r="PV33" s="122"/>
      <c r="PW33" s="122"/>
      <c r="PX33" s="122"/>
      <c r="PY33" s="122"/>
      <c r="PZ33" s="122"/>
      <c r="QA33" s="122"/>
      <c r="QB33" s="122"/>
      <c r="QC33" s="122"/>
      <c r="QD33" s="122"/>
      <c r="QE33" s="122"/>
      <c r="QF33" s="122"/>
      <c r="QG33" s="122"/>
      <c r="QH33" s="122"/>
      <c r="QI33" s="122"/>
      <c r="QJ33" s="122"/>
      <c r="QK33" s="122"/>
      <c r="QL33" s="122"/>
      <c r="QM33" s="122"/>
      <c r="QN33" s="122"/>
      <c r="QO33" s="122"/>
      <c r="QP33" s="122"/>
      <c r="QQ33" s="122"/>
      <c r="QR33" s="122"/>
      <c r="QS33" s="122"/>
      <c r="QT33" s="122"/>
      <c r="QU33" s="122"/>
      <c r="QV33" s="122"/>
      <c r="QW33" s="122"/>
      <c r="QX33" s="122"/>
      <c r="QY33" s="122"/>
      <c r="QZ33" s="122"/>
      <c r="RA33" s="122"/>
      <c r="RB33" s="122"/>
      <c r="RC33" s="122"/>
      <c r="RD33" s="122"/>
      <c r="RE33" s="122"/>
      <c r="RF33" s="122"/>
      <c r="RG33" s="122"/>
      <c r="RH33" s="122"/>
      <c r="RI33" s="122"/>
      <c r="RJ33" s="122"/>
      <c r="RK33" s="122"/>
      <c r="RL33" s="122"/>
      <c r="RM33" s="122"/>
      <c r="RN33" s="122"/>
      <c r="RO33" s="122"/>
      <c r="RP33" s="122"/>
      <c r="RQ33" s="122"/>
      <c r="RR33" s="122"/>
      <c r="RS33" s="122"/>
      <c r="RT33" s="122"/>
      <c r="RU33" s="122"/>
      <c r="RV33" s="122"/>
      <c r="RW33" s="122"/>
      <c r="RX33" s="122"/>
      <c r="RY33" s="122"/>
      <c r="RZ33" s="122"/>
      <c r="SA33" s="122"/>
      <c r="SB33" s="122"/>
      <c r="SC33" s="122"/>
      <c r="SD33" s="122"/>
      <c r="SE33" s="122"/>
      <c r="SF33" s="122"/>
    </row>
    <row r="34" spans="1:500" s="657" customFormat="1" ht="30.25" customHeight="1" x14ac:dyDescent="0.25">
      <c r="A34" s="593" t="s">
        <v>2593</v>
      </c>
      <c r="B34" s="593" t="s">
        <v>3431</v>
      </c>
      <c r="C34" s="594" t="str">
        <f t="shared" ref="C34:C37" si="5">CONCATENATE(A34," ",B34)</f>
        <v>CITROEN e-SpaceTourer (Shine) M 
(Batterie 75kWh)</v>
      </c>
      <c r="D34" s="593" t="s">
        <v>2741</v>
      </c>
      <c r="E34" s="593">
        <v>100</v>
      </c>
      <c r="F34" s="593" t="s">
        <v>2521</v>
      </c>
      <c r="G34" s="642">
        <v>25.9</v>
      </c>
      <c r="H34" s="593"/>
      <c r="I34" s="593">
        <v>0</v>
      </c>
      <c r="J34" s="595"/>
      <c r="K34" s="595"/>
      <c r="L34" s="595">
        <v>72200</v>
      </c>
      <c r="M34" s="596"/>
      <c r="N34" s="643" t="s">
        <v>2875</v>
      </c>
      <c r="O34" s="659"/>
      <c r="P34" s="603"/>
      <c r="Q34" s="603"/>
      <c r="R34" s="603"/>
      <c r="S34" s="603"/>
      <c r="T34" s="603"/>
      <c r="U34" s="603"/>
      <c r="V34" s="603"/>
      <c r="W34" s="603"/>
      <c r="X34" s="603"/>
      <c r="Y34" s="603"/>
      <c r="Z34" s="603"/>
      <c r="AA34" s="603"/>
      <c r="AB34" s="603"/>
      <c r="AC34" s="603"/>
      <c r="AD34" s="603"/>
      <c r="AE34" s="611"/>
      <c r="AF34" s="611"/>
      <c r="AG34" s="609"/>
      <c r="AH34" s="611"/>
      <c r="AI34" s="611"/>
      <c r="AJ34" s="611"/>
      <c r="AK34" s="611"/>
      <c r="AL34" s="611"/>
      <c r="AM34" s="119"/>
      <c r="AN34" s="119"/>
      <c r="AO34" s="119"/>
      <c r="AP34" s="120"/>
      <c r="AQ34" s="120"/>
      <c r="AR34" s="120"/>
      <c r="AS34" s="120"/>
      <c r="AT34" s="120"/>
      <c r="AU34" s="120"/>
      <c r="AV34" s="120"/>
      <c r="AW34" s="120"/>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2"/>
      <c r="EI34" s="122"/>
      <c r="EJ34" s="122"/>
      <c r="EK34" s="122"/>
      <c r="EL34" s="122"/>
      <c r="EM34" s="122"/>
      <c r="EN34" s="122"/>
      <c r="EO34" s="122"/>
      <c r="EP34" s="122"/>
      <c r="EQ34" s="122"/>
      <c r="ER34" s="122"/>
      <c r="ES34" s="122"/>
      <c r="ET34" s="122"/>
      <c r="EU34" s="122"/>
      <c r="EV34" s="122"/>
      <c r="EW34" s="122"/>
      <c r="EX34" s="122"/>
      <c r="EY34" s="122"/>
      <c r="EZ34" s="122"/>
      <c r="FA34" s="122"/>
      <c r="FB34" s="122"/>
      <c r="FC34" s="122"/>
      <c r="FD34" s="122"/>
      <c r="FE34" s="122"/>
      <c r="FF34" s="122"/>
      <c r="FG34" s="122"/>
      <c r="FH34" s="122"/>
      <c r="FI34" s="122"/>
      <c r="FJ34" s="122"/>
      <c r="FK34" s="122"/>
      <c r="FL34" s="122"/>
      <c r="FM34" s="122"/>
      <c r="FN34" s="122"/>
      <c r="FO34" s="122"/>
      <c r="FP34" s="122"/>
      <c r="FQ34" s="122"/>
      <c r="FR34" s="122"/>
      <c r="FS34" s="122"/>
      <c r="FT34" s="122"/>
      <c r="FU34" s="122"/>
      <c r="FV34" s="122"/>
      <c r="FW34" s="122"/>
      <c r="FX34" s="122"/>
      <c r="FY34" s="122"/>
      <c r="FZ34" s="122"/>
      <c r="GA34" s="122"/>
      <c r="GB34" s="122"/>
      <c r="GC34" s="122"/>
      <c r="GD34" s="122"/>
      <c r="GE34" s="122"/>
      <c r="GF34" s="122"/>
      <c r="GG34" s="122"/>
      <c r="GH34" s="122"/>
      <c r="GI34" s="122"/>
      <c r="GJ34" s="122"/>
      <c r="GK34" s="122"/>
      <c r="GL34" s="122"/>
      <c r="GM34" s="122"/>
      <c r="GN34" s="122"/>
      <c r="GO34" s="122"/>
      <c r="GP34" s="122"/>
      <c r="GQ34" s="122"/>
      <c r="GR34" s="122"/>
      <c r="GS34" s="122"/>
      <c r="GT34" s="122"/>
      <c r="GU34" s="122"/>
      <c r="GV34" s="122"/>
      <c r="GW34" s="122"/>
      <c r="GX34" s="122"/>
      <c r="GY34" s="122"/>
      <c r="GZ34" s="122"/>
      <c r="HA34" s="122"/>
      <c r="HB34" s="122"/>
      <c r="HC34" s="122"/>
      <c r="HD34" s="122"/>
      <c r="HE34" s="122"/>
      <c r="HF34" s="122"/>
      <c r="HG34" s="122"/>
      <c r="HH34" s="122"/>
      <c r="HI34" s="122"/>
      <c r="HJ34" s="122"/>
      <c r="HK34" s="122"/>
      <c r="HL34" s="122"/>
      <c r="HM34" s="122"/>
      <c r="HN34" s="122"/>
      <c r="HO34" s="122"/>
      <c r="HP34" s="122"/>
      <c r="HQ34" s="122"/>
      <c r="HR34" s="122"/>
      <c r="HS34" s="122"/>
      <c r="HT34" s="122"/>
      <c r="HU34" s="122"/>
      <c r="HV34" s="122"/>
      <c r="HW34" s="122"/>
      <c r="HX34" s="122"/>
      <c r="HY34" s="122"/>
      <c r="HZ34" s="122"/>
      <c r="IA34" s="122"/>
      <c r="IB34" s="122"/>
      <c r="IC34" s="122"/>
      <c r="ID34" s="122"/>
      <c r="IE34" s="122"/>
      <c r="IF34" s="122"/>
      <c r="IG34" s="122"/>
      <c r="IH34" s="122"/>
      <c r="II34" s="122"/>
      <c r="IJ34" s="122"/>
      <c r="IK34" s="122"/>
      <c r="IL34" s="122"/>
      <c r="IM34" s="122"/>
      <c r="IN34" s="122"/>
      <c r="IO34" s="122"/>
      <c r="IP34" s="122"/>
      <c r="IQ34" s="122"/>
      <c r="IR34" s="122"/>
      <c r="IS34" s="122"/>
      <c r="IT34" s="122"/>
      <c r="IU34" s="122"/>
      <c r="IV34" s="122"/>
      <c r="IW34" s="122"/>
      <c r="IX34" s="122"/>
      <c r="IY34" s="122"/>
      <c r="IZ34" s="122"/>
      <c r="JA34" s="122"/>
      <c r="JB34" s="122"/>
      <c r="JC34" s="122"/>
      <c r="JD34" s="122"/>
      <c r="JE34" s="122"/>
      <c r="JF34" s="122"/>
      <c r="JG34" s="122"/>
      <c r="JH34" s="122"/>
      <c r="JI34" s="122"/>
      <c r="JJ34" s="122"/>
      <c r="JK34" s="122"/>
      <c r="JL34" s="122"/>
      <c r="JM34" s="122"/>
      <c r="JN34" s="122"/>
      <c r="JO34" s="122"/>
      <c r="JP34" s="122"/>
      <c r="JQ34" s="122"/>
      <c r="JR34" s="122"/>
      <c r="JS34" s="122"/>
      <c r="JT34" s="122"/>
      <c r="JU34" s="122"/>
      <c r="JV34" s="122"/>
      <c r="JW34" s="122"/>
      <c r="JX34" s="122"/>
      <c r="JY34" s="122"/>
      <c r="JZ34" s="122"/>
      <c r="KA34" s="122"/>
      <c r="KB34" s="122"/>
      <c r="KC34" s="122"/>
      <c r="KD34" s="122"/>
      <c r="KE34" s="122"/>
      <c r="KF34" s="122"/>
      <c r="KG34" s="122"/>
      <c r="KH34" s="122"/>
      <c r="KI34" s="122"/>
      <c r="KJ34" s="122"/>
      <c r="KK34" s="122"/>
      <c r="KL34" s="122"/>
      <c r="KM34" s="122"/>
      <c r="KN34" s="122"/>
      <c r="KO34" s="122"/>
      <c r="KP34" s="122"/>
      <c r="KQ34" s="122"/>
      <c r="KR34" s="122"/>
      <c r="KS34" s="122"/>
      <c r="KT34" s="122"/>
      <c r="KU34" s="122"/>
      <c r="KV34" s="122"/>
      <c r="KW34" s="122"/>
      <c r="KX34" s="122"/>
      <c r="KY34" s="122"/>
      <c r="KZ34" s="122"/>
      <c r="LA34" s="122"/>
      <c r="LB34" s="122"/>
      <c r="LC34" s="122"/>
      <c r="LD34" s="122"/>
      <c r="LE34" s="122"/>
      <c r="LF34" s="122"/>
      <c r="LG34" s="122"/>
      <c r="LH34" s="122"/>
      <c r="LI34" s="122"/>
      <c r="LJ34" s="122"/>
      <c r="LK34" s="122"/>
      <c r="LL34" s="122"/>
      <c r="LM34" s="122"/>
      <c r="LN34" s="122"/>
      <c r="LO34" s="122"/>
      <c r="LP34" s="122"/>
      <c r="LQ34" s="122"/>
      <c r="LR34" s="122"/>
      <c r="LS34" s="122"/>
      <c r="LT34" s="122"/>
      <c r="LU34" s="122"/>
      <c r="LV34" s="122"/>
      <c r="LW34" s="122"/>
      <c r="LX34" s="122"/>
      <c r="LY34" s="122"/>
      <c r="LZ34" s="122"/>
      <c r="MA34" s="122"/>
      <c r="MB34" s="122"/>
      <c r="MC34" s="122"/>
      <c r="MD34" s="122"/>
      <c r="ME34" s="122"/>
      <c r="MF34" s="122"/>
      <c r="MG34" s="122"/>
      <c r="MH34" s="122"/>
      <c r="MI34" s="122"/>
      <c r="MJ34" s="122"/>
      <c r="MK34" s="122"/>
      <c r="ML34" s="122"/>
      <c r="MM34" s="122"/>
      <c r="MN34" s="122"/>
      <c r="MO34" s="122"/>
      <c r="MP34" s="122"/>
      <c r="MQ34" s="122"/>
      <c r="MR34" s="122"/>
      <c r="MS34" s="122"/>
      <c r="MT34" s="122"/>
      <c r="MU34" s="122"/>
      <c r="MV34" s="122"/>
      <c r="MW34" s="122"/>
      <c r="MX34" s="122"/>
      <c r="MY34" s="122"/>
      <c r="MZ34" s="122"/>
      <c r="NA34" s="122"/>
      <c r="NB34" s="122"/>
      <c r="NC34" s="122"/>
      <c r="ND34" s="122"/>
      <c r="NE34" s="122"/>
      <c r="NF34" s="122"/>
      <c r="NG34" s="122"/>
      <c r="NH34" s="122"/>
      <c r="NI34" s="122"/>
      <c r="NJ34" s="122"/>
      <c r="NK34" s="122"/>
      <c r="NL34" s="122"/>
      <c r="NM34" s="122"/>
      <c r="NN34" s="122"/>
      <c r="NO34" s="122"/>
      <c r="NP34" s="122"/>
      <c r="NQ34" s="122"/>
      <c r="NR34" s="122"/>
      <c r="NS34" s="122"/>
      <c r="NT34" s="122"/>
      <c r="NU34" s="122"/>
      <c r="NV34" s="122"/>
      <c r="NW34" s="122"/>
      <c r="NX34" s="122"/>
      <c r="NY34" s="122"/>
      <c r="NZ34" s="122"/>
      <c r="OA34" s="122"/>
      <c r="OB34" s="122"/>
      <c r="OC34" s="122"/>
      <c r="OD34" s="122"/>
      <c r="OE34" s="122"/>
      <c r="OF34" s="122"/>
      <c r="OG34" s="122"/>
      <c r="OH34" s="122"/>
      <c r="OI34" s="122"/>
      <c r="OJ34" s="122"/>
      <c r="OK34" s="122"/>
      <c r="OL34" s="122"/>
      <c r="OM34" s="122"/>
      <c r="ON34" s="122"/>
      <c r="OO34" s="122"/>
      <c r="OP34" s="122"/>
      <c r="OQ34" s="122"/>
      <c r="OR34" s="122"/>
      <c r="OS34" s="122"/>
      <c r="OT34" s="122"/>
      <c r="OU34" s="122"/>
      <c r="OV34" s="122"/>
      <c r="OW34" s="122"/>
      <c r="OX34" s="122"/>
      <c r="OY34" s="122"/>
      <c r="OZ34" s="122"/>
      <c r="PA34" s="122"/>
      <c r="PB34" s="122"/>
      <c r="PC34" s="122"/>
      <c r="PD34" s="122"/>
      <c r="PE34" s="122"/>
      <c r="PF34" s="122"/>
      <c r="PG34" s="122"/>
      <c r="PH34" s="122"/>
      <c r="PI34" s="122"/>
      <c r="PJ34" s="122"/>
      <c r="PK34" s="122"/>
      <c r="PL34" s="122"/>
      <c r="PM34" s="122"/>
      <c r="PN34" s="122"/>
      <c r="PO34" s="122"/>
      <c r="PP34" s="122"/>
      <c r="PQ34" s="122"/>
      <c r="PR34" s="122"/>
      <c r="PS34" s="122"/>
      <c r="PT34" s="122"/>
      <c r="PU34" s="122"/>
      <c r="PV34" s="122"/>
      <c r="PW34" s="122"/>
      <c r="PX34" s="122"/>
      <c r="PY34" s="122"/>
      <c r="PZ34" s="122"/>
      <c r="QA34" s="122"/>
      <c r="QB34" s="122"/>
      <c r="QC34" s="122"/>
      <c r="QD34" s="122"/>
      <c r="QE34" s="122"/>
      <c r="QF34" s="122"/>
      <c r="QG34" s="122"/>
      <c r="QH34" s="122"/>
      <c r="QI34" s="122"/>
      <c r="QJ34" s="122"/>
      <c r="QK34" s="122"/>
      <c r="QL34" s="122"/>
      <c r="QM34" s="122"/>
      <c r="QN34" s="122"/>
      <c r="QO34" s="122"/>
      <c r="QP34" s="122"/>
      <c r="QQ34" s="122"/>
      <c r="QR34" s="122"/>
      <c r="QS34" s="122"/>
      <c r="QT34" s="122"/>
      <c r="QU34" s="122"/>
      <c r="QV34" s="122"/>
      <c r="QW34" s="122"/>
      <c r="QX34" s="122"/>
      <c r="QY34" s="122"/>
      <c r="QZ34" s="122"/>
      <c r="RA34" s="122"/>
      <c r="RB34" s="122"/>
      <c r="RC34" s="122"/>
      <c r="RD34" s="122"/>
      <c r="RE34" s="122"/>
      <c r="RF34" s="122"/>
      <c r="RG34" s="122"/>
      <c r="RH34" s="122"/>
      <c r="RI34" s="122"/>
      <c r="RJ34" s="122"/>
      <c r="RK34" s="122"/>
      <c r="RL34" s="122"/>
      <c r="RM34" s="122"/>
      <c r="RN34" s="122"/>
      <c r="RO34" s="122"/>
      <c r="RP34" s="122"/>
      <c r="RQ34" s="122"/>
      <c r="RR34" s="122"/>
      <c r="RS34" s="122"/>
      <c r="RT34" s="122"/>
      <c r="RU34" s="122"/>
      <c r="RV34" s="122"/>
      <c r="RW34" s="122"/>
      <c r="RX34" s="122"/>
      <c r="RY34" s="122"/>
      <c r="RZ34" s="122"/>
      <c r="SA34" s="122"/>
      <c r="SB34" s="122"/>
      <c r="SC34" s="122"/>
      <c r="SD34" s="122"/>
      <c r="SE34" s="122"/>
      <c r="SF34" s="122"/>
    </row>
    <row r="35" spans="1:500" s="657" customFormat="1" ht="30.25" customHeight="1" x14ac:dyDescent="0.25">
      <c r="A35" s="593" t="s">
        <v>2593</v>
      </c>
      <c r="B35" s="593" t="s">
        <v>3432</v>
      </c>
      <c r="C35" s="594" t="str">
        <f t="shared" si="5"/>
        <v>CITROEN e-SpaceTourer (Shine) XL 
(Batterie 50kWh)</v>
      </c>
      <c r="D35" s="593" t="s">
        <v>2741</v>
      </c>
      <c r="E35" s="593">
        <v>100</v>
      </c>
      <c r="F35" s="593" t="s">
        <v>2521</v>
      </c>
      <c r="G35" s="642">
        <v>23.9</v>
      </c>
      <c r="H35" s="593"/>
      <c r="I35" s="593">
        <v>0</v>
      </c>
      <c r="J35" s="595"/>
      <c r="K35" s="595"/>
      <c r="L35" s="595">
        <v>66700</v>
      </c>
      <c r="M35" s="596"/>
      <c r="N35" s="643" t="s">
        <v>2875</v>
      </c>
      <c r="O35" s="659"/>
      <c r="P35" s="603"/>
      <c r="Q35" s="603"/>
      <c r="R35" s="603"/>
      <c r="S35" s="603"/>
      <c r="T35" s="603"/>
      <c r="U35" s="603"/>
      <c r="V35" s="603"/>
      <c r="W35" s="603"/>
      <c r="X35" s="603"/>
      <c r="Y35" s="603"/>
      <c r="Z35" s="603"/>
      <c r="AA35" s="603"/>
      <c r="AB35" s="603"/>
      <c r="AC35" s="603"/>
      <c r="AD35" s="603"/>
      <c r="AE35" s="611"/>
      <c r="AF35" s="611"/>
      <c r="AG35" s="609"/>
      <c r="AH35" s="611"/>
      <c r="AI35" s="611"/>
      <c r="AJ35" s="611"/>
      <c r="AK35" s="611"/>
      <c r="AL35" s="611"/>
      <c r="AM35" s="119"/>
      <c r="AN35" s="119"/>
      <c r="AO35" s="119"/>
      <c r="AP35" s="120"/>
      <c r="AQ35" s="120"/>
      <c r="AR35" s="120"/>
      <c r="AS35" s="120"/>
      <c r="AT35" s="120"/>
      <c r="AU35" s="120"/>
      <c r="AV35" s="120"/>
      <c r="AW35" s="120"/>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2"/>
      <c r="EI35" s="122"/>
      <c r="EJ35" s="122"/>
      <c r="EK35" s="122"/>
      <c r="EL35" s="122"/>
      <c r="EM35" s="122"/>
      <c r="EN35" s="122"/>
      <c r="EO35" s="122"/>
      <c r="EP35" s="122"/>
      <c r="EQ35" s="122"/>
      <c r="ER35" s="122"/>
      <c r="ES35" s="122"/>
      <c r="ET35" s="122"/>
      <c r="EU35" s="122"/>
      <c r="EV35" s="122"/>
      <c r="EW35" s="122"/>
      <c r="EX35" s="122"/>
      <c r="EY35" s="122"/>
      <c r="EZ35" s="122"/>
      <c r="FA35" s="122"/>
      <c r="FB35" s="122"/>
      <c r="FC35" s="122"/>
      <c r="FD35" s="122"/>
      <c r="FE35" s="122"/>
      <c r="FF35" s="122"/>
      <c r="FG35" s="122"/>
      <c r="FH35" s="122"/>
      <c r="FI35" s="122"/>
      <c r="FJ35" s="122"/>
      <c r="FK35" s="122"/>
      <c r="FL35" s="122"/>
      <c r="FM35" s="122"/>
      <c r="FN35" s="122"/>
      <c r="FO35" s="122"/>
      <c r="FP35" s="122"/>
      <c r="FQ35" s="122"/>
      <c r="FR35" s="122"/>
      <c r="FS35" s="122"/>
      <c r="FT35" s="122"/>
      <c r="FU35" s="122"/>
      <c r="FV35" s="122"/>
      <c r="FW35" s="122"/>
      <c r="FX35" s="122"/>
      <c r="FY35" s="122"/>
      <c r="FZ35" s="122"/>
      <c r="GA35" s="122"/>
      <c r="GB35" s="122"/>
      <c r="GC35" s="122"/>
      <c r="GD35" s="122"/>
      <c r="GE35" s="122"/>
      <c r="GF35" s="122"/>
      <c r="GG35" s="122"/>
      <c r="GH35" s="122"/>
      <c r="GI35" s="122"/>
      <c r="GJ35" s="122"/>
      <c r="GK35" s="122"/>
      <c r="GL35" s="122"/>
      <c r="GM35" s="122"/>
      <c r="GN35" s="122"/>
      <c r="GO35" s="122"/>
      <c r="GP35" s="122"/>
      <c r="GQ35" s="122"/>
      <c r="GR35" s="122"/>
      <c r="GS35" s="122"/>
      <c r="GT35" s="122"/>
      <c r="GU35" s="122"/>
      <c r="GV35" s="122"/>
      <c r="GW35" s="122"/>
      <c r="GX35" s="122"/>
      <c r="GY35" s="122"/>
      <c r="GZ35" s="122"/>
      <c r="HA35" s="122"/>
      <c r="HB35" s="122"/>
      <c r="HC35" s="122"/>
      <c r="HD35" s="122"/>
      <c r="HE35" s="122"/>
      <c r="HF35" s="122"/>
      <c r="HG35" s="122"/>
      <c r="HH35" s="122"/>
      <c r="HI35" s="122"/>
      <c r="HJ35" s="122"/>
      <c r="HK35" s="122"/>
      <c r="HL35" s="122"/>
      <c r="HM35" s="122"/>
      <c r="HN35" s="122"/>
      <c r="HO35" s="122"/>
      <c r="HP35" s="122"/>
      <c r="HQ35" s="122"/>
      <c r="HR35" s="122"/>
      <c r="HS35" s="122"/>
      <c r="HT35" s="122"/>
      <c r="HU35" s="122"/>
      <c r="HV35" s="122"/>
      <c r="HW35" s="122"/>
      <c r="HX35" s="122"/>
      <c r="HY35" s="122"/>
      <c r="HZ35" s="122"/>
      <c r="IA35" s="122"/>
      <c r="IB35" s="122"/>
      <c r="IC35" s="122"/>
      <c r="ID35" s="122"/>
      <c r="IE35" s="122"/>
      <c r="IF35" s="122"/>
      <c r="IG35" s="122"/>
      <c r="IH35" s="122"/>
      <c r="II35" s="122"/>
      <c r="IJ35" s="122"/>
      <c r="IK35" s="122"/>
      <c r="IL35" s="122"/>
      <c r="IM35" s="122"/>
      <c r="IN35" s="122"/>
      <c r="IO35" s="122"/>
      <c r="IP35" s="122"/>
      <c r="IQ35" s="122"/>
      <c r="IR35" s="122"/>
      <c r="IS35" s="122"/>
      <c r="IT35" s="122"/>
      <c r="IU35" s="122"/>
      <c r="IV35" s="122"/>
      <c r="IW35" s="122"/>
      <c r="IX35" s="122"/>
      <c r="IY35" s="122"/>
      <c r="IZ35" s="122"/>
      <c r="JA35" s="122"/>
      <c r="JB35" s="122"/>
      <c r="JC35" s="122"/>
      <c r="JD35" s="122"/>
      <c r="JE35" s="122"/>
      <c r="JF35" s="122"/>
      <c r="JG35" s="122"/>
      <c r="JH35" s="122"/>
      <c r="JI35" s="122"/>
      <c r="JJ35" s="122"/>
      <c r="JK35" s="122"/>
      <c r="JL35" s="122"/>
      <c r="JM35" s="122"/>
      <c r="JN35" s="122"/>
      <c r="JO35" s="122"/>
      <c r="JP35" s="122"/>
      <c r="JQ35" s="122"/>
      <c r="JR35" s="122"/>
      <c r="JS35" s="122"/>
      <c r="JT35" s="122"/>
      <c r="JU35" s="122"/>
      <c r="JV35" s="122"/>
      <c r="JW35" s="122"/>
      <c r="JX35" s="122"/>
      <c r="JY35" s="122"/>
      <c r="JZ35" s="122"/>
      <c r="KA35" s="122"/>
      <c r="KB35" s="122"/>
      <c r="KC35" s="122"/>
      <c r="KD35" s="122"/>
      <c r="KE35" s="122"/>
      <c r="KF35" s="122"/>
      <c r="KG35" s="122"/>
      <c r="KH35" s="122"/>
      <c r="KI35" s="122"/>
      <c r="KJ35" s="122"/>
      <c r="KK35" s="122"/>
      <c r="KL35" s="122"/>
      <c r="KM35" s="122"/>
      <c r="KN35" s="122"/>
      <c r="KO35" s="122"/>
      <c r="KP35" s="122"/>
      <c r="KQ35" s="122"/>
      <c r="KR35" s="122"/>
      <c r="KS35" s="122"/>
      <c r="KT35" s="122"/>
      <c r="KU35" s="122"/>
      <c r="KV35" s="122"/>
      <c r="KW35" s="122"/>
      <c r="KX35" s="122"/>
      <c r="KY35" s="122"/>
      <c r="KZ35" s="122"/>
      <c r="LA35" s="122"/>
      <c r="LB35" s="122"/>
      <c r="LC35" s="122"/>
      <c r="LD35" s="122"/>
      <c r="LE35" s="122"/>
      <c r="LF35" s="122"/>
      <c r="LG35" s="122"/>
      <c r="LH35" s="122"/>
      <c r="LI35" s="122"/>
      <c r="LJ35" s="122"/>
      <c r="LK35" s="122"/>
      <c r="LL35" s="122"/>
      <c r="LM35" s="122"/>
      <c r="LN35" s="122"/>
      <c r="LO35" s="122"/>
      <c r="LP35" s="122"/>
      <c r="LQ35" s="122"/>
      <c r="LR35" s="122"/>
      <c r="LS35" s="122"/>
      <c r="LT35" s="122"/>
      <c r="LU35" s="122"/>
      <c r="LV35" s="122"/>
      <c r="LW35" s="122"/>
      <c r="LX35" s="122"/>
      <c r="LY35" s="122"/>
      <c r="LZ35" s="122"/>
      <c r="MA35" s="122"/>
      <c r="MB35" s="122"/>
      <c r="MC35" s="122"/>
      <c r="MD35" s="122"/>
      <c r="ME35" s="122"/>
      <c r="MF35" s="122"/>
      <c r="MG35" s="122"/>
      <c r="MH35" s="122"/>
      <c r="MI35" s="122"/>
      <c r="MJ35" s="122"/>
      <c r="MK35" s="122"/>
      <c r="ML35" s="122"/>
      <c r="MM35" s="122"/>
      <c r="MN35" s="122"/>
      <c r="MO35" s="122"/>
      <c r="MP35" s="122"/>
      <c r="MQ35" s="122"/>
      <c r="MR35" s="122"/>
      <c r="MS35" s="122"/>
      <c r="MT35" s="122"/>
      <c r="MU35" s="122"/>
      <c r="MV35" s="122"/>
      <c r="MW35" s="122"/>
      <c r="MX35" s="122"/>
      <c r="MY35" s="122"/>
      <c r="MZ35" s="122"/>
      <c r="NA35" s="122"/>
      <c r="NB35" s="122"/>
      <c r="NC35" s="122"/>
      <c r="ND35" s="122"/>
      <c r="NE35" s="122"/>
      <c r="NF35" s="122"/>
      <c r="NG35" s="122"/>
      <c r="NH35" s="122"/>
      <c r="NI35" s="122"/>
      <c r="NJ35" s="122"/>
      <c r="NK35" s="122"/>
      <c r="NL35" s="122"/>
      <c r="NM35" s="122"/>
      <c r="NN35" s="122"/>
      <c r="NO35" s="122"/>
      <c r="NP35" s="122"/>
      <c r="NQ35" s="122"/>
      <c r="NR35" s="122"/>
      <c r="NS35" s="122"/>
      <c r="NT35" s="122"/>
      <c r="NU35" s="122"/>
      <c r="NV35" s="122"/>
      <c r="NW35" s="122"/>
      <c r="NX35" s="122"/>
      <c r="NY35" s="122"/>
      <c r="NZ35" s="122"/>
      <c r="OA35" s="122"/>
      <c r="OB35" s="122"/>
      <c r="OC35" s="122"/>
      <c r="OD35" s="122"/>
      <c r="OE35" s="122"/>
      <c r="OF35" s="122"/>
      <c r="OG35" s="122"/>
      <c r="OH35" s="122"/>
      <c r="OI35" s="122"/>
      <c r="OJ35" s="122"/>
      <c r="OK35" s="122"/>
      <c r="OL35" s="122"/>
      <c r="OM35" s="122"/>
      <c r="ON35" s="122"/>
      <c r="OO35" s="122"/>
      <c r="OP35" s="122"/>
      <c r="OQ35" s="122"/>
      <c r="OR35" s="122"/>
      <c r="OS35" s="122"/>
      <c r="OT35" s="122"/>
      <c r="OU35" s="122"/>
      <c r="OV35" s="122"/>
      <c r="OW35" s="122"/>
      <c r="OX35" s="122"/>
      <c r="OY35" s="122"/>
      <c r="OZ35" s="122"/>
      <c r="PA35" s="122"/>
      <c r="PB35" s="122"/>
      <c r="PC35" s="122"/>
      <c r="PD35" s="122"/>
      <c r="PE35" s="122"/>
      <c r="PF35" s="122"/>
      <c r="PG35" s="122"/>
      <c r="PH35" s="122"/>
      <c r="PI35" s="122"/>
      <c r="PJ35" s="122"/>
      <c r="PK35" s="122"/>
      <c r="PL35" s="122"/>
      <c r="PM35" s="122"/>
      <c r="PN35" s="122"/>
      <c r="PO35" s="122"/>
      <c r="PP35" s="122"/>
      <c r="PQ35" s="122"/>
      <c r="PR35" s="122"/>
      <c r="PS35" s="122"/>
      <c r="PT35" s="122"/>
      <c r="PU35" s="122"/>
      <c r="PV35" s="122"/>
      <c r="PW35" s="122"/>
      <c r="PX35" s="122"/>
      <c r="PY35" s="122"/>
      <c r="PZ35" s="122"/>
      <c r="QA35" s="122"/>
      <c r="QB35" s="122"/>
      <c r="QC35" s="122"/>
      <c r="QD35" s="122"/>
      <c r="QE35" s="122"/>
      <c r="QF35" s="122"/>
      <c r="QG35" s="122"/>
      <c r="QH35" s="122"/>
      <c r="QI35" s="122"/>
      <c r="QJ35" s="122"/>
      <c r="QK35" s="122"/>
      <c r="QL35" s="122"/>
      <c r="QM35" s="122"/>
      <c r="QN35" s="122"/>
      <c r="QO35" s="122"/>
      <c r="QP35" s="122"/>
      <c r="QQ35" s="122"/>
      <c r="QR35" s="122"/>
      <c r="QS35" s="122"/>
      <c r="QT35" s="122"/>
      <c r="QU35" s="122"/>
      <c r="QV35" s="122"/>
      <c r="QW35" s="122"/>
      <c r="QX35" s="122"/>
      <c r="QY35" s="122"/>
      <c r="QZ35" s="122"/>
      <c r="RA35" s="122"/>
      <c r="RB35" s="122"/>
      <c r="RC35" s="122"/>
      <c r="RD35" s="122"/>
      <c r="RE35" s="122"/>
      <c r="RF35" s="122"/>
      <c r="RG35" s="122"/>
      <c r="RH35" s="122"/>
      <c r="RI35" s="122"/>
      <c r="RJ35" s="122"/>
      <c r="RK35" s="122"/>
      <c r="RL35" s="122"/>
      <c r="RM35" s="122"/>
      <c r="RN35" s="122"/>
      <c r="RO35" s="122"/>
      <c r="RP35" s="122"/>
      <c r="RQ35" s="122"/>
      <c r="RR35" s="122"/>
      <c r="RS35" s="122"/>
      <c r="RT35" s="122"/>
      <c r="RU35" s="122"/>
      <c r="RV35" s="122"/>
      <c r="RW35" s="122"/>
      <c r="RX35" s="122"/>
      <c r="RY35" s="122"/>
      <c r="RZ35" s="122"/>
      <c r="SA35" s="122"/>
      <c r="SB35" s="122"/>
      <c r="SC35" s="122"/>
      <c r="SD35" s="122"/>
      <c r="SE35" s="122"/>
      <c r="SF35" s="122"/>
    </row>
    <row r="36" spans="1:500" s="657" customFormat="1" ht="30.25" customHeight="1" x14ac:dyDescent="0.25">
      <c r="A36" s="593" t="s">
        <v>2593</v>
      </c>
      <c r="B36" s="593" t="s">
        <v>3433</v>
      </c>
      <c r="C36" s="594" t="str">
        <f t="shared" si="5"/>
        <v>CITROEN e-SpaceTourer (Shine) XL 
(Batterie 75kWh)</v>
      </c>
      <c r="D36" s="593" t="s">
        <v>2741</v>
      </c>
      <c r="E36" s="593">
        <v>100</v>
      </c>
      <c r="F36" s="593" t="s">
        <v>2521</v>
      </c>
      <c r="G36" s="642">
        <v>25.9</v>
      </c>
      <c r="H36" s="593"/>
      <c r="I36" s="593">
        <v>0</v>
      </c>
      <c r="J36" s="595"/>
      <c r="K36" s="595"/>
      <c r="L36" s="595">
        <v>72700</v>
      </c>
      <c r="M36" s="596"/>
      <c r="N36" s="643" t="s">
        <v>2875</v>
      </c>
      <c r="O36" s="659"/>
      <c r="P36" s="603"/>
      <c r="Q36" s="603"/>
      <c r="R36" s="603"/>
      <c r="S36" s="603"/>
      <c r="T36" s="603"/>
      <c r="U36" s="603"/>
      <c r="V36" s="603"/>
      <c r="W36" s="603"/>
      <c r="X36" s="603"/>
      <c r="Y36" s="603"/>
      <c r="Z36" s="603"/>
      <c r="AA36" s="603"/>
      <c r="AB36" s="603"/>
      <c r="AC36" s="603"/>
      <c r="AD36" s="603"/>
      <c r="AE36" s="611"/>
      <c r="AF36" s="611"/>
      <c r="AG36" s="609"/>
      <c r="AH36" s="611"/>
      <c r="AI36" s="611"/>
      <c r="AJ36" s="611"/>
      <c r="AK36" s="611"/>
      <c r="AL36" s="611"/>
      <c r="AM36" s="119"/>
      <c r="AN36" s="119"/>
      <c r="AO36" s="119"/>
      <c r="AP36" s="120"/>
      <c r="AQ36" s="120"/>
      <c r="AR36" s="120"/>
      <c r="AS36" s="120"/>
      <c r="AT36" s="120"/>
      <c r="AU36" s="120"/>
      <c r="AV36" s="120"/>
      <c r="AW36" s="120"/>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2"/>
      <c r="EI36" s="122"/>
      <c r="EJ36" s="122"/>
      <c r="EK36" s="122"/>
      <c r="EL36" s="122"/>
      <c r="EM36" s="122"/>
      <c r="EN36" s="122"/>
      <c r="EO36" s="122"/>
      <c r="EP36" s="122"/>
      <c r="EQ36" s="122"/>
      <c r="ER36" s="122"/>
      <c r="ES36" s="122"/>
      <c r="ET36" s="122"/>
      <c r="EU36" s="122"/>
      <c r="EV36" s="122"/>
      <c r="EW36" s="122"/>
      <c r="EX36" s="122"/>
      <c r="EY36" s="122"/>
      <c r="EZ36" s="122"/>
      <c r="FA36" s="122"/>
      <c r="FB36" s="122"/>
      <c r="FC36" s="122"/>
      <c r="FD36" s="122"/>
      <c r="FE36" s="122"/>
      <c r="FF36" s="122"/>
      <c r="FG36" s="122"/>
      <c r="FH36" s="122"/>
      <c r="FI36" s="122"/>
      <c r="FJ36" s="122"/>
      <c r="FK36" s="122"/>
      <c r="FL36" s="122"/>
      <c r="FM36" s="122"/>
      <c r="FN36" s="122"/>
      <c r="FO36" s="122"/>
      <c r="FP36" s="122"/>
      <c r="FQ36" s="122"/>
      <c r="FR36" s="122"/>
      <c r="FS36" s="122"/>
      <c r="FT36" s="122"/>
      <c r="FU36" s="122"/>
      <c r="FV36" s="122"/>
      <c r="FW36" s="122"/>
      <c r="FX36" s="122"/>
      <c r="FY36" s="122"/>
      <c r="FZ36" s="122"/>
      <c r="GA36" s="122"/>
      <c r="GB36" s="122"/>
      <c r="GC36" s="122"/>
      <c r="GD36" s="122"/>
      <c r="GE36" s="122"/>
      <c r="GF36" s="122"/>
      <c r="GG36" s="122"/>
      <c r="GH36" s="122"/>
      <c r="GI36" s="122"/>
      <c r="GJ36" s="122"/>
      <c r="GK36" s="122"/>
      <c r="GL36" s="122"/>
      <c r="GM36" s="122"/>
      <c r="GN36" s="122"/>
      <c r="GO36" s="122"/>
      <c r="GP36" s="122"/>
      <c r="GQ36" s="122"/>
      <c r="GR36" s="122"/>
      <c r="GS36" s="122"/>
      <c r="GT36" s="122"/>
      <c r="GU36" s="122"/>
      <c r="GV36" s="122"/>
      <c r="GW36" s="122"/>
      <c r="GX36" s="122"/>
      <c r="GY36" s="122"/>
      <c r="GZ36" s="122"/>
      <c r="HA36" s="122"/>
      <c r="HB36" s="122"/>
      <c r="HC36" s="122"/>
      <c r="HD36" s="122"/>
      <c r="HE36" s="122"/>
      <c r="HF36" s="122"/>
      <c r="HG36" s="122"/>
      <c r="HH36" s="122"/>
      <c r="HI36" s="122"/>
      <c r="HJ36" s="122"/>
      <c r="HK36" s="122"/>
      <c r="HL36" s="122"/>
      <c r="HM36" s="122"/>
      <c r="HN36" s="122"/>
      <c r="HO36" s="122"/>
      <c r="HP36" s="122"/>
      <c r="HQ36" s="122"/>
      <c r="HR36" s="122"/>
      <c r="HS36" s="122"/>
      <c r="HT36" s="122"/>
      <c r="HU36" s="122"/>
      <c r="HV36" s="122"/>
      <c r="HW36" s="122"/>
      <c r="HX36" s="122"/>
      <c r="HY36" s="122"/>
      <c r="HZ36" s="122"/>
      <c r="IA36" s="122"/>
      <c r="IB36" s="122"/>
      <c r="IC36" s="122"/>
      <c r="ID36" s="122"/>
      <c r="IE36" s="122"/>
      <c r="IF36" s="122"/>
      <c r="IG36" s="122"/>
      <c r="IH36" s="122"/>
      <c r="II36" s="122"/>
      <c r="IJ36" s="122"/>
      <c r="IK36" s="122"/>
      <c r="IL36" s="122"/>
      <c r="IM36" s="122"/>
      <c r="IN36" s="122"/>
      <c r="IO36" s="122"/>
      <c r="IP36" s="122"/>
      <c r="IQ36" s="122"/>
      <c r="IR36" s="122"/>
      <c r="IS36" s="122"/>
      <c r="IT36" s="122"/>
      <c r="IU36" s="122"/>
      <c r="IV36" s="122"/>
      <c r="IW36" s="122"/>
      <c r="IX36" s="122"/>
      <c r="IY36" s="122"/>
      <c r="IZ36" s="122"/>
      <c r="JA36" s="122"/>
      <c r="JB36" s="122"/>
      <c r="JC36" s="122"/>
      <c r="JD36" s="122"/>
      <c r="JE36" s="122"/>
      <c r="JF36" s="122"/>
      <c r="JG36" s="122"/>
      <c r="JH36" s="122"/>
      <c r="JI36" s="122"/>
      <c r="JJ36" s="122"/>
      <c r="JK36" s="122"/>
      <c r="JL36" s="122"/>
      <c r="JM36" s="122"/>
      <c r="JN36" s="122"/>
      <c r="JO36" s="122"/>
      <c r="JP36" s="122"/>
      <c r="JQ36" s="122"/>
      <c r="JR36" s="122"/>
      <c r="JS36" s="122"/>
      <c r="JT36" s="122"/>
      <c r="JU36" s="122"/>
      <c r="JV36" s="122"/>
      <c r="JW36" s="122"/>
      <c r="JX36" s="122"/>
      <c r="JY36" s="122"/>
      <c r="JZ36" s="122"/>
      <c r="KA36" s="122"/>
      <c r="KB36" s="122"/>
      <c r="KC36" s="122"/>
      <c r="KD36" s="122"/>
      <c r="KE36" s="122"/>
      <c r="KF36" s="122"/>
      <c r="KG36" s="122"/>
      <c r="KH36" s="122"/>
      <c r="KI36" s="122"/>
      <c r="KJ36" s="122"/>
      <c r="KK36" s="122"/>
      <c r="KL36" s="122"/>
      <c r="KM36" s="122"/>
      <c r="KN36" s="122"/>
      <c r="KO36" s="122"/>
      <c r="KP36" s="122"/>
      <c r="KQ36" s="122"/>
      <c r="KR36" s="122"/>
      <c r="KS36" s="122"/>
      <c r="KT36" s="122"/>
      <c r="KU36" s="122"/>
      <c r="KV36" s="122"/>
      <c r="KW36" s="122"/>
      <c r="KX36" s="122"/>
      <c r="KY36" s="122"/>
      <c r="KZ36" s="122"/>
      <c r="LA36" s="122"/>
      <c r="LB36" s="122"/>
      <c r="LC36" s="122"/>
      <c r="LD36" s="122"/>
      <c r="LE36" s="122"/>
      <c r="LF36" s="122"/>
      <c r="LG36" s="122"/>
      <c r="LH36" s="122"/>
      <c r="LI36" s="122"/>
      <c r="LJ36" s="122"/>
      <c r="LK36" s="122"/>
      <c r="LL36" s="122"/>
      <c r="LM36" s="122"/>
      <c r="LN36" s="122"/>
      <c r="LO36" s="122"/>
      <c r="LP36" s="122"/>
      <c r="LQ36" s="122"/>
      <c r="LR36" s="122"/>
      <c r="LS36" s="122"/>
      <c r="LT36" s="122"/>
      <c r="LU36" s="122"/>
      <c r="LV36" s="122"/>
      <c r="LW36" s="122"/>
      <c r="LX36" s="122"/>
      <c r="LY36" s="122"/>
      <c r="LZ36" s="122"/>
      <c r="MA36" s="122"/>
      <c r="MB36" s="122"/>
      <c r="MC36" s="122"/>
      <c r="MD36" s="122"/>
      <c r="ME36" s="122"/>
      <c r="MF36" s="122"/>
      <c r="MG36" s="122"/>
      <c r="MH36" s="122"/>
      <c r="MI36" s="122"/>
      <c r="MJ36" s="122"/>
      <c r="MK36" s="122"/>
      <c r="ML36" s="122"/>
      <c r="MM36" s="122"/>
      <c r="MN36" s="122"/>
      <c r="MO36" s="122"/>
      <c r="MP36" s="122"/>
      <c r="MQ36" s="122"/>
      <c r="MR36" s="122"/>
      <c r="MS36" s="122"/>
      <c r="MT36" s="122"/>
      <c r="MU36" s="122"/>
      <c r="MV36" s="122"/>
      <c r="MW36" s="122"/>
      <c r="MX36" s="122"/>
      <c r="MY36" s="122"/>
      <c r="MZ36" s="122"/>
      <c r="NA36" s="122"/>
      <c r="NB36" s="122"/>
      <c r="NC36" s="122"/>
      <c r="ND36" s="122"/>
      <c r="NE36" s="122"/>
      <c r="NF36" s="122"/>
      <c r="NG36" s="122"/>
      <c r="NH36" s="122"/>
      <c r="NI36" s="122"/>
      <c r="NJ36" s="122"/>
      <c r="NK36" s="122"/>
      <c r="NL36" s="122"/>
      <c r="NM36" s="122"/>
      <c r="NN36" s="122"/>
      <c r="NO36" s="122"/>
      <c r="NP36" s="122"/>
      <c r="NQ36" s="122"/>
      <c r="NR36" s="122"/>
      <c r="NS36" s="122"/>
      <c r="NT36" s="122"/>
      <c r="NU36" s="122"/>
      <c r="NV36" s="122"/>
      <c r="NW36" s="122"/>
      <c r="NX36" s="122"/>
      <c r="NY36" s="122"/>
      <c r="NZ36" s="122"/>
      <c r="OA36" s="122"/>
      <c r="OB36" s="122"/>
      <c r="OC36" s="122"/>
      <c r="OD36" s="122"/>
      <c r="OE36" s="122"/>
      <c r="OF36" s="122"/>
      <c r="OG36" s="122"/>
      <c r="OH36" s="122"/>
      <c r="OI36" s="122"/>
      <c r="OJ36" s="122"/>
      <c r="OK36" s="122"/>
      <c r="OL36" s="122"/>
      <c r="OM36" s="122"/>
      <c r="ON36" s="122"/>
      <c r="OO36" s="122"/>
      <c r="OP36" s="122"/>
      <c r="OQ36" s="122"/>
      <c r="OR36" s="122"/>
      <c r="OS36" s="122"/>
      <c r="OT36" s="122"/>
      <c r="OU36" s="122"/>
      <c r="OV36" s="122"/>
      <c r="OW36" s="122"/>
      <c r="OX36" s="122"/>
      <c r="OY36" s="122"/>
      <c r="OZ36" s="122"/>
      <c r="PA36" s="122"/>
      <c r="PB36" s="122"/>
      <c r="PC36" s="122"/>
      <c r="PD36" s="122"/>
      <c r="PE36" s="122"/>
      <c r="PF36" s="122"/>
      <c r="PG36" s="122"/>
      <c r="PH36" s="122"/>
      <c r="PI36" s="122"/>
      <c r="PJ36" s="122"/>
      <c r="PK36" s="122"/>
      <c r="PL36" s="122"/>
      <c r="PM36" s="122"/>
      <c r="PN36" s="122"/>
      <c r="PO36" s="122"/>
      <c r="PP36" s="122"/>
      <c r="PQ36" s="122"/>
      <c r="PR36" s="122"/>
      <c r="PS36" s="122"/>
      <c r="PT36" s="122"/>
      <c r="PU36" s="122"/>
      <c r="PV36" s="122"/>
      <c r="PW36" s="122"/>
      <c r="PX36" s="122"/>
      <c r="PY36" s="122"/>
      <c r="PZ36" s="122"/>
      <c r="QA36" s="122"/>
      <c r="QB36" s="122"/>
      <c r="QC36" s="122"/>
      <c r="QD36" s="122"/>
      <c r="QE36" s="122"/>
      <c r="QF36" s="122"/>
      <c r="QG36" s="122"/>
      <c r="QH36" s="122"/>
      <c r="QI36" s="122"/>
      <c r="QJ36" s="122"/>
      <c r="QK36" s="122"/>
      <c r="QL36" s="122"/>
      <c r="QM36" s="122"/>
      <c r="QN36" s="122"/>
      <c r="QO36" s="122"/>
      <c r="QP36" s="122"/>
      <c r="QQ36" s="122"/>
      <c r="QR36" s="122"/>
      <c r="QS36" s="122"/>
      <c r="QT36" s="122"/>
      <c r="QU36" s="122"/>
      <c r="QV36" s="122"/>
      <c r="QW36" s="122"/>
      <c r="QX36" s="122"/>
      <c r="QY36" s="122"/>
      <c r="QZ36" s="122"/>
      <c r="RA36" s="122"/>
      <c r="RB36" s="122"/>
      <c r="RC36" s="122"/>
      <c r="RD36" s="122"/>
      <c r="RE36" s="122"/>
      <c r="RF36" s="122"/>
      <c r="RG36" s="122"/>
      <c r="RH36" s="122"/>
      <c r="RI36" s="122"/>
      <c r="RJ36" s="122"/>
      <c r="RK36" s="122"/>
      <c r="RL36" s="122"/>
      <c r="RM36" s="122"/>
      <c r="RN36" s="122"/>
      <c r="RO36" s="122"/>
      <c r="RP36" s="122"/>
      <c r="RQ36" s="122"/>
      <c r="RR36" s="122"/>
      <c r="RS36" s="122"/>
      <c r="RT36" s="122"/>
      <c r="RU36" s="122"/>
      <c r="RV36" s="122"/>
      <c r="RW36" s="122"/>
      <c r="RX36" s="122"/>
      <c r="RY36" s="122"/>
      <c r="RZ36" s="122"/>
      <c r="SA36" s="122"/>
      <c r="SB36" s="122"/>
      <c r="SC36" s="122"/>
      <c r="SD36" s="122"/>
      <c r="SE36" s="122"/>
      <c r="SF36" s="122"/>
    </row>
    <row r="37" spans="1:500" s="657" customFormat="1" ht="30.25" customHeight="1" x14ac:dyDescent="0.25">
      <c r="A37" s="593" t="s">
        <v>2593</v>
      </c>
      <c r="B37" s="593" t="s">
        <v>3434</v>
      </c>
      <c r="C37" s="594" t="str">
        <f t="shared" si="5"/>
        <v>CITROEN e-SpaceTourer (Business) M 
(Batterie 50kWh)</v>
      </c>
      <c r="D37" s="593" t="s">
        <v>2741</v>
      </c>
      <c r="E37" s="593">
        <v>100</v>
      </c>
      <c r="F37" s="593" t="s">
        <v>2521</v>
      </c>
      <c r="G37" s="642">
        <v>23.9</v>
      </c>
      <c r="H37" s="593"/>
      <c r="I37" s="593">
        <v>0</v>
      </c>
      <c r="J37" s="595"/>
      <c r="K37" s="595"/>
      <c r="L37" s="595">
        <v>57350</v>
      </c>
      <c r="M37" s="596"/>
      <c r="N37" s="643" t="s">
        <v>2875</v>
      </c>
      <c r="O37" s="659"/>
      <c r="P37" s="603"/>
      <c r="Q37" s="603"/>
      <c r="R37" s="603"/>
      <c r="S37" s="603"/>
      <c r="T37" s="603"/>
      <c r="U37" s="603"/>
      <c r="V37" s="603"/>
      <c r="W37" s="603"/>
      <c r="X37" s="603"/>
      <c r="Y37" s="603"/>
      <c r="Z37" s="603"/>
      <c r="AA37" s="603"/>
      <c r="AB37" s="603"/>
      <c r="AC37" s="603"/>
      <c r="AD37" s="603"/>
      <c r="AE37" s="611"/>
      <c r="AF37" s="611"/>
      <c r="AG37" s="609"/>
      <c r="AH37" s="611"/>
      <c r="AI37" s="611"/>
      <c r="AJ37" s="611"/>
      <c r="AK37" s="611"/>
      <c r="AL37" s="611"/>
      <c r="AM37" s="119"/>
      <c r="AN37" s="119"/>
      <c r="AO37" s="119"/>
      <c r="AP37" s="120"/>
      <c r="AQ37" s="120"/>
      <c r="AR37" s="120"/>
      <c r="AS37" s="120"/>
      <c r="AT37" s="120"/>
      <c r="AU37" s="120"/>
      <c r="AV37" s="120"/>
      <c r="AW37" s="120"/>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2"/>
      <c r="EI37" s="122"/>
      <c r="EJ37" s="122"/>
      <c r="EK37" s="122"/>
      <c r="EL37" s="122"/>
      <c r="EM37" s="122"/>
      <c r="EN37" s="122"/>
      <c r="EO37" s="122"/>
      <c r="EP37" s="122"/>
      <c r="EQ37" s="122"/>
      <c r="ER37" s="122"/>
      <c r="ES37" s="122"/>
      <c r="ET37" s="122"/>
      <c r="EU37" s="122"/>
      <c r="EV37" s="122"/>
      <c r="EW37" s="122"/>
      <c r="EX37" s="122"/>
      <c r="EY37" s="122"/>
      <c r="EZ37" s="122"/>
      <c r="FA37" s="122"/>
      <c r="FB37" s="122"/>
      <c r="FC37" s="122"/>
      <c r="FD37" s="122"/>
      <c r="FE37" s="122"/>
      <c r="FF37" s="122"/>
      <c r="FG37" s="122"/>
      <c r="FH37" s="122"/>
      <c r="FI37" s="122"/>
      <c r="FJ37" s="122"/>
      <c r="FK37" s="122"/>
      <c r="FL37" s="122"/>
      <c r="FM37" s="122"/>
      <c r="FN37" s="122"/>
      <c r="FO37" s="122"/>
      <c r="FP37" s="122"/>
      <c r="FQ37" s="122"/>
      <c r="FR37" s="122"/>
      <c r="FS37" s="122"/>
      <c r="FT37" s="122"/>
      <c r="FU37" s="122"/>
      <c r="FV37" s="122"/>
      <c r="FW37" s="122"/>
      <c r="FX37" s="122"/>
      <c r="FY37" s="122"/>
      <c r="FZ37" s="122"/>
      <c r="GA37" s="122"/>
      <c r="GB37" s="122"/>
      <c r="GC37" s="122"/>
      <c r="GD37" s="122"/>
      <c r="GE37" s="122"/>
      <c r="GF37" s="122"/>
      <c r="GG37" s="122"/>
      <c r="GH37" s="122"/>
      <c r="GI37" s="122"/>
      <c r="GJ37" s="122"/>
      <c r="GK37" s="122"/>
      <c r="GL37" s="122"/>
      <c r="GM37" s="122"/>
      <c r="GN37" s="122"/>
      <c r="GO37" s="122"/>
      <c r="GP37" s="122"/>
      <c r="GQ37" s="122"/>
      <c r="GR37" s="122"/>
      <c r="GS37" s="122"/>
      <c r="GT37" s="122"/>
      <c r="GU37" s="122"/>
      <c r="GV37" s="122"/>
      <c r="GW37" s="122"/>
      <c r="GX37" s="122"/>
      <c r="GY37" s="122"/>
      <c r="GZ37" s="122"/>
      <c r="HA37" s="122"/>
      <c r="HB37" s="122"/>
      <c r="HC37" s="122"/>
      <c r="HD37" s="122"/>
      <c r="HE37" s="122"/>
      <c r="HF37" s="122"/>
      <c r="HG37" s="122"/>
      <c r="HH37" s="122"/>
      <c r="HI37" s="122"/>
      <c r="HJ37" s="122"/>
      <c r="HK37" s="122"/>
      <c r="HL37" s="122"/>
      <c r="HM37" s="122"/>
      <c r="HN37" s="122"/>
      <c r="HO37" s="122"/>
      <c r="HP37" s="122"/>
      <c r="HQ37" s="122"/>
      <c r="HR37" s="122"/>
      <c r="HS37" s="122"/>
      <c r="HT37" s="122"/>
      <c r="HU37" s="122"/>
      <c r="HV37" s="122"/>
      <c r="HW37" s="122"/>
      <c r="HX37" s="122"/>
      <c r="HY37" s="122"/>
      <c r="HZ37" s="122"/>
      <c r="IA37" s="122"/>
      <c r="IB37" s="122"/>
      <c r="IC37" s="122"/>
      <c r="ID37" s="122"/>
      <c r="IE37" s="122"/>
      <c r="IF37" s="122"/>
      <c r="IG37" s="122"/>
      <c r="IH37" s="122"/>
      <c r="II37" s="122"/>
      <c r="IJ37" s="122"/>
      <c r="IK37" s="122"/>
      <c r="IL37" s="122"/>
      <c r="IM37" s="122"/>
      <c r="IN37" s="122"/>
      <c r="IO37" s="122"/>
      <c r="IP37" s="122"/>
      <c r="IQ37" s="122"/>
      <c r="IR37" s="122"/>
      <c r="IS37" s="122"/>
      <c r="IT37" s="122"/>
      <c r="IU37" s="122"/>
      <c r="IV37" s="122"/>
      <c r="IW37" s="122"/>
      <c r="IX37" s="122"/>
      <c r="IY37" s="122"/>
      <c r="IZ37" s="122"/>
      <c r="JA37" s="122"/>
      <c r="JB37" s="122"/>
      <c r="JC37" s="122"/>
      <c r="JD37" s="122"/>
      <c r="JE37" s="122"/>
      <c r="JF37" s="122"/>
      <c r="JG37" s="122"/>
      <c r="JH37" s="122"/>
      <c r="JI37" s="122"/>
      <c r="JJ37" s="122"/>
      <c r="JK37" s="122"/>
      <c r="JL37" s="122"/>
      <c r="JM37" s="122"/>
      <c r="JN37" s="122"/>
      <c r="JO37" s="122"/>
      <c r="JP37" s="122"/>
      <c r="JQ37" s="122"/>
      <c r="JR37" s="122"/>
      <c r="JS37" s="122"/>
      <c r="JT37" s="122"/>
      <c r="JU37" s="122"/>
      <c r="JV37" s="122"/>
      <c r="JW37" s="122"/>
      <c r="JX37" s="122"/>
      <c r="JY37" s="122"/>
      <c r="JZ37" s="122"/>
      <c r="KA37" s="122"/>
      <c r="KB37" s="122"/>
      <c r="KC37" s="122"/>
      <c r="KD37" s="122"/>
      <c r="KE37" s="122"/>
      <c r="KF37" s="122"/>
      <c r="KG37" s="122"/>
      <c r="KH37" s="122"/>
      <c r="KI37" s="122"/>
      <c r="KJ37" s="122"/>
      <c r="KK37" s="122"/>
      <c r="KL37" s="122"/>
      <c r="KM37" s="122"/>
      <c r="KN37" s="122"/>
      <c r="KO37" s="122"/>
      <c r="KP37" s="122"/>
      <c r="KQ37" s="122"/>
      <c r="KR37" s="122"/>
      <c r="KS37" s="122"/>
      <c r="KT37" s="122"/>
      <c r="KU37" s="122"/>
      <c r="KV37" s="122"/>
      <c r="KW37" s="122"/>
      <c r="KX37" s="122"/>
      <c r="KY37" s="122"/>
      <c r="KZ37" s="122"/>
      <c r="LA37" s="122"/>
      <c r="LB37" s="122"/>
      <c r="LC37" s="122"/>
      <c r="LD37" s="122"/>
      <c r="LE37" s="122"/>
      <c r="LF37" s="122"/>
      <c r="LG37" s="122"/>
      <c r="LH37" s="122"/>
      <c r="LI37" s="122"/>
      <c r="LJ37" s="122"/>
      <c r="LK37" s="122"/>
      <c r="LL37" s="122"/>
      <c r="LM37" s="122"/>
      <c r="LN37" s="122"/>
      <c r="LO37" s="122"/>
      <c r="LP37" s="122"/>
      <c r="LQ37" s="122"/>
      <c r="LR37" s="122"/>
      <c r="LS37" s="122"/>
      <c r="LT37" s="122"/>
      <c r="LU37" s="122"/>
      <c r="LV37" s="122"/>
      <c r="LW37" s="122"/>
      <c r="LX37" s="122"/>
      <c r="LY37" s="122"/>
      <c r="LZ37" s="122"/>
      <c r="MA37" s="122"/>
      <c r="MB37" s="122"/>
      <c r="MC37" s="122"/>
      <c r="MD37" s="122"/>
      <c r="ME37" s="122"/>
      <c r="MF37" s="122"/>
      <c r="MG37" s="122"/>
      <c r="MH37" s="122"/>
      <c r="MI37" s="122"/>
      <c r="MJ37" s="122"/>
      <c r="MK37" s="122"/>
      <c r="ML37" s="122"/>
      <c r="MM37" s="122"/>
      <c r="MN37" s="122"/>
      <c r="MO37" s="122"/>
      <c r="MP37" s="122"/>
      <c r="MQ37" s="122"/>
      <c r="MR37" s="122"/>
      <c r="MS37" s="122"/>
      <c r="MT37" s="122"/>
      <c r="MU37" s="122"/>
      <c r="MV37" s="122"/>
      <c r="MW37" s="122"/>
      <c r="MX37" s="122"/>
      <c r="MY37" s="122"/>
      <c r="MZ37" s="122"/>
      <c r="NA37" s="122"/>
      <c r="NB37" s="122"/>
      <c r="NC37" s="122"/>
      <c r="ND37" s="122"/>
      <c r="NE37" s="122"/>
      <c r="NF37" s="122"/>
      <c r="NG37" s="122"/>
      <c r="NH37" s="122"/>
      <c r="NI37" s="122"/>
      <c r="NJ37" s="122"/>
      <c r="NK37" s="122"/>
      <c r="NL37" s="122"/>
      <c r="NM37" s="122"/>
      <c r="NN37" s="122"/>
      <c r="NO37" s="122"/>
      <c r="NP37" s="122"/>
      <c r="NQ37" s="122"/>
      <c r="NR37" s="122"/>
      <c r="NS37" s="122"/>
      <c r="NT37" s="122"/>
      <c r="NU37" s="122"/>
      <c r="NV37" s="122"/>
      <c r="NW37" s="122"/>
      <c r="NX37" s="122"/>
      <c r="NY37" s="122"/>
      <c r="NZ37" s="122"/>
      <c r="OA37" s="122"/>
      <c r="OB37" s="122"/>
      <c r="OC37" s="122"/>
      <c r="OD37" s="122"/>
      <c r="OE37" s="122"/>
      <c r="OF37" s="122"/>
      <c r="OG37" s="122"/>
      <c r="OH37" s="122"/>
      <c r="OI37" s="122"/>
      <c r="OJ37" s="122"/>
      <c r="OK37" s="122"/>
      <c r="OL37" s="122"/>
      <c r="OM37" s="122"/>
      <c r="ON37" s="122"/>
      <c r="OO37" s="122"/>
      <c r="OP37" s="122"/>
      <c r="OQ37" s="122"/>
      <c r="OR37" s="122"/>
      <c r="OS37" s="122"/>
      <c r="OT37" s="122"/>
      <c r="OU37" s="122"/>
      <c r="OV37" s="122"/>
      <c r="OW37" s="122"/>
      <c r="OX37" s="122"/>
      <c r="OY37" s="122"/>
      <c r="OZ37" s="122"/>
      <c r="PA37" s="122"/>
      <c r="PB37" s="122"/>
      <c r="PC37" s="122"/>
      <c r="PD37" s="122"/>
      <c r="PE37" s="122"/>
      <c r="PF37" s="122"/>
      <c r="PG37" s="122"/>
      <c r="PH37" s="122"/>
      <c r="PI37" s="122"/>
      <c r="PJ37" s="122"/>
      <c r="PK37" s="122"/>
      <c r="PL37" s="122"/>
      <c r="PM37" s="122"/>
      <c r="PN37" s="122"/>
      <c r="PO37" s="122"/>
      <c r="PP37" s="122"/>
      <c r="PQ37" s="122"/>
      <c r="PR37" s="122"/>
      <c r="PS37" s="122"/>
      <c r="PT37" s="122"/>
      <c r="PU37" s="122"/>
      <c r="PV37" s="122"/>
      <c r="PW37" s="122"/>
      <c r="PX37" s="122"/>
      <c r="PY37" s="122"/>
      <c r="PZ37" s="122"/>
      <c r="QA37" s="122"/>
      <c r="QB37" s="122"/>
      <c r="QC37" s="122"/>
      <c r="QD37" s="122"/>
      <c r="QE37" s="122"/>
      <c r="QF37" s="122"/>
      <c r="QG37" s="122"/>
      <c r="QH37" s="122"/>
      <c r="QI37" s="122"/>
      <c r="QJ37" s="122"/>
      <c r="QK37" s="122"/>
      <c r="QL37" s="122"/>
      <c r="QM37" s="122"/>
      <c r="QN37" s="122"/>
      <c r="QO37" s="122"/>
      <c r="QP37" s="122"/>
      <c r="QQ37" s="122"/>
      <c r="QR37" s="122"/>
      <c r="QS37" s="122"/>
      <c r="QT37" s="122"/>
      <c r="QU37" s="122"/>
      <c r="QV37" s="122"/>
      <c r="QW37" s="122"/>
      <c r="QX37" s="122"/>
      <c r="QY37" s="122"/>
      <c r="QZ37" s="122"/>
      <c r="RA37" s="122"/>
      <c r="RB37" s="122"/>
      <c r="RC37" s="122"/>
      <c r="RD37" s="122"/>
      <c r="RE37" s="122"/>
      <c r="RF37" s="122"/>
      <c r="RG37" s="122"/>
      <c r="RH37" s="122"/>
      <c r="RI37" s="122"/>
      <c r="RJ37" s="122"/>
      <c r="RK37" s="122"/>
      <c r="RL37" s="122"/>
      <c r="RM37" s="122"/>
      <c r="RN37" s="122"/>
      <c r="RO37" s="122"/>
      <c r="RP37" s="122"/>
      <c r="RQ37" s="122"/>
      <c r="RR37" s="122"/>
      <c r="RS37" s="122"/>
      <c r="RT37" s="122"/>
      <c r="RU37" s="122"/>
      <c r="RV37" s="122"/>
      <c r="RW37" s="122"/>
      <c r="RX37" s="122"/>
      <c r="RY37" s="122"/>
      <c r="RZ37" s="122"/>
      <c r="SA37" s="122"/>
      <c r="SB37" s="122"/>
      <c r="SC37" s="122"/>
      <c r="SD37" s="122"/>
      <c r="SE37" s="122"/>
      <c r="SF37" s="122"/>
    </row>
    <row r="38" spans="1:500" s="657" customFormat="1" ht="30.25" customHeight="1" x14ac:dyDescent="0.25">
      <c r="A38" s="593" t="s">
        <v>2593</v>
      </c>
      <c r="B38" s="593" t="s">
        <v>3435</v>
      </c>
      <c r="C38" s="594" t="str">
        <f t="shared" ref="C38:C40" si="6">CONCATENATE(A38," ",B38)</f>
        <v>CITROEN e-SpaceTourer (Business) M 
(Batterie 75kWh)</v>
      </c>
      <c r="D38" s="593" t="s">
        <v>2741</v>
      </c>
      <c r="E38" s="593">
        <v>100</v>
      </c>
      <c r="F38" s="593" t="s">
        <v>2521</v>
      </c>
      <c r="G38" s="642">
        <v>25.9</v>
      </c>
      <c r="H38" s="593"/>
      <c r="I38" s="593">
        <v>0</v>
      </c>
      <c r="J38" s="595"/>
      <c r="K38" s="595"/>
      <c r="L38" s="595">
        <v>63350</v>
      </c>
      <c r="M38" s="596"/>
      <c r="N38" s="643" t="s">
        <v>2875</v>
      </c>
      <c r="O38" s="659"/>
      <c r="P38" s="603"/>
      <c r="Q38" s="603"/>
      <c r="R38" s="603"/>
      <c r="S38" s="603"/>
      <c r="T38" s="603"/>
      <c r="U38" s="603"/>
      <c r="V38" s="603"/>
      <c r="W38" s="603"/>
      <c r="X38" s="603"/>
      <c r="Y38" s="603"/>
      <c r="Z38" s="603"/>
      <c r="AA38" s="603"/>
      <c r="AB38" s="603"/>
      <c r="AC38" s="603"/>
      <c r="AD38" s="603"/>
      <c r="AE38" s="611"/>
      <c r="AF38" s="611"/>
      <c r="AG38" s="609"/>
      <c r="AH38" s="611"/>
      <c r="AI38" s="611"/>
      <c r="AJ38" s="611"/>
      <c r="AK38" s="611"/>
      <c r="AL38" s="611"/>
      <c r="AM38" s="119"/>
      <c r="AN38" s="119"/>
      <c r="AO38" s="119"/>
      <c r="AP38" s="120"/>
      <c r="AQ38" s="120"/>
      <c r="AR38" s="120"/>
      <c r="AS38" s="120"/>
      <c r="AT38" s="120"/>
      <c r="AU38" s="120"/>
      <c r="AV38" s="120"/>
      <c r="AW38" s="120"/>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2"/>
      <c r="EI38" s="122"/>
      <c r="EJ38" s="122"/>
      <c r="EK38" s="122"/>
      <c r="EL38" s="122"/>
      <c r="EM38" s="122"/>
      <c r="EN38" s="122"/>
      <c r="EO38" s="122"/>
      <c r="EP38" s="122"/>
      <c r="EQ38" s="122"/>
      <c r="ER38" s="122"/>
      <c r="ES38" s="122"/>
      <c r="ET38" s="122"/>
      <c r="EU38" s="122"/>
      <c r="EV38" s="122"/>
      <c r="EW38" s="122"/>
      <c r="EX38" s="122"/>
      <c r="EY38" s="122"/>
      <c r="EZ38" s="122"/>
      <c r="FA38" s="122"/>
      <c r="FB38" s="122"/>
      <c r="FC38" s="122"/>
      <c r="FD38" s="122"/>
      <c r="FE38" s="122"/>
      <c r="FF38" s="122"/>
      <c r="FG38" s="122"/>
      <c r="FH38" s="122"/>
      <c r="FI38" s="122"/>
      <c r="FJ38" s="122"/>
      <c r="FK38" s="122"/>
      <c r="FL38" s="122"/>
      <c r="FM38" s="122"/>
      <c r="FN38" s="122"/>
      <c r="FO38" s="122"/>
      <c r="FP38" s="122"/>
      <c r="FQ38" s="122"/>
      <c r="FR38" s="122"/>
      <c r="FS38" s="122"/>
      <c r="FT38" s="122"/>
      <c r="FU38" s="122"/>
      <c r="FV38" s="122"/>
      <c r="FW38" s="122"/>
      <c r="FX38" s="122"/>
      <c r="FY38" s="122"/>
      <c r="FZ38" s="122"/>
      <c r="GA38" s="122"/>
      <c r="GB38" s="122"/>
      <c r="GC38" s="122"/>
      <c r="GD38" s="122"/>
      <c r="GE38" s="122"/>
      <c r="GF38" s="122"/>
      <c r="GG38" s="122"/>
      <c r="GH38" s="122"/>
      <c r="GI38" s="122"/>
      <c r="GJ38" s="122"/>
      <c r="GK38" s="122"/>
      <c r="GL38" s="122"/>
      <c r="GM38" s="122"/>
      <c r="GN38" s="122"/>
      <c r="GO38" s="122"/>
      <c r="GP38" s="122"/>
      <c r="GQ38" s="122"/>
      <c r="GR38" s="122"/>
      <c r="GS38" s="122"/>
      <c r="GT38" s="122"/>
      <c r="GU38" s="122"/>
      <c r="GV38" s="122"/>
      <c r="GW38" s="122"/>
      <c r="GX38" s="122"/>
      <c r="GY38" s="122"/>
      <c r="GZ38" s="122"/>
      <c r="HA38" s="122"/>
      <c r="HB38" s="122"/>
      <c r="HC38" s="122"/>
      <c r="HD38" s="122"/>
      <c r="HE38" s="122"/>
      <c r="HF38" s="122"/>
      <c r="HG38" s="122"/>
      <c r="HH38" s="122"/>
      <c r="HI38" s="122"/>
      <c r="HJ38" s="122"/>
      <c r="HK38" s="122"/>
      <c r="HL38" s="122"/>
      <c r="HM38" s="122"/>
      <c r="HN38" s="122"/>
      <c r="HO38" s="122"/>
      <c r="HP38" s="122"/>
      <c r="HQ38" s="122"/>
      <c r="HR38" s="122"/>
      <c r="HS38" s="122"/>
      <c r="HT38" s="122"/>
      <c r="HU38" s="122"/>
      <c r="HV38" s="122"/>
      <c r="HW38" s="122"/>
      <c r="HX38" s="122"/>
      <c r="HY38" s="122"/>
      <c r="HZ38" s="122"/>
      <c r="IA38" s="122"/>
      <c r="IB38" s="122"/>
      <c r="IC38" s="122"/>
      <c r="ID38" s="122"/>
      <c r="IE38" s="122"/>
      <c r="IF38" s="122"/>
      <c r="IG38" s="122"/>
      <c r="IH38" s="122"/>
      <c r="II38" s="122"/>
      <c r="IJ38" s="122"/>
      <c r="IK38" s="122"/>
      <c r="IL38" s="122"/>
      <c r="IM38" s="122"/>
      <c r="IN38" s="122"/>
      <c r="IO38" s="122"/>
      <c r="IP38" s="122"/>
      <c r="IQ38" s="122"/>
      <c r="IR38" s="122"/>
      <c r="IS38" s="122"/>
      <c r="IT38" s="122"/>
      <c r="IU38" s="122"/>
      <c r="IV38" s="122"/>
      <c r="IW38" s="122"/>
      <c r="IX38" s="122"/>
      <c r="IY38" s="122"/>
      <c r="IZ38" s="122"/>
      <c r="JA38" s="122"/>
      <c r="JB38" s="122"/>
      <c r="JC38" s="122"/>
      <c r="JD38" s="122"/>
      <c r="JE38" s="122"/>
      <c r="JF38" s="122"/>
      <c r="JG38" s="122"/>
      <c r="JH38" s="122"/>
      <c r="JI38" s="122"/>
      <c r="JJ38" s="122"/>
      <c r="JK38" s="122"/>
      <c r="JL38" s="122"/>
      <c r="JM38" s="122"/>
      <c r="JN38" s="122"/>
      <c r="JO38" s="122"/>
      <c r="JP38" s="122"/>
      <c r="JQ38" s="122"/>
      <c r="JR38" s="122"/>
      <c r="JS38" s="122"/>
      <c r="JT38" s="122"/>
      <c r="JU38" s="122"/>
      <c r="JV38" s="122"/>
      <c r="JW38" s="122"/>
      <c r="JX38" s="122"/>
      <c r="JY38" s="122"/>
      <c r="JZ38" s="122"/>
      <c r="KA38" s="122"/>
      <c r="KB38" s="122"/>
      <c r="KC38" s="122"/>
      <c r="KD38" s="122"/>
      <c r="KE38" s="122"/>
      <c r="KF38" s="122"/>
      <c r="KG38" s="122"/>
      <c r="KH38" s="122"/>
      <c r="KI38" s="122"/>
      <c r="KJ38" s="122"/>
      <c r="KK38" s="122"/>
      <c r="KL38" s="122"/>
      <c r="KM38" s="122"/>
      <c r="KN38" s="122"/>
      <c r="KO38" s="122"/>
      <c r="KP38" s="122"/>
      <c r="KQ38" s="122"/>
      <c r="KR38" s="122"/>
      <c r="KS38" s="122"/>
      <c r="KT38" s="122"/>
      <c r="KU38" s="122"/>
      <c r="KV38" s="122"/>
      <c r="KW38" s="122"/>
      <c r="KX38" s="122"/>
      <c r="KY38" s="122"/>
      <c r="KZ38" s="122"/>
      <c r="LA38" s="122"/>
      <c r="LB38" s="122"/>
      <c r="LC38" s="122"/>
      <c r="LD38" s="122"/>
      <c r="LE38" s="122"/>
      <c r="LF38" s="122"/>
      <c r="LG38" s="122"/>
      <c r="LH38" s="122"/>
      <c r="LI38" s="122"/>
      <c r="LJ38" s="122"/>
      <c r="LK38" s="122"/>
      <c r="LL38" s="122"/>
      <c r="LM38" s="122"/>
      <c r="LN38" s="122"/>
      <c r="LO38" s="122"/>
      <c r="LP38" s="122"/>
      <c r="LQ38" s="122"/>
      <c r="LR38" s="122"/>
      <c r="LS38" s="122"/>
      <c r="LT38" s="122"/>
      <c r="LU38" s="122"/>
      <c r="LV38" s="122"/>
      <c r="LW38" s="122"/>
      <c r="LX38" s="122"/>
      <c r="LY38" s="122"/>
      <c r="LZ38" s="122"/>
      <c r="MA38" s="122"/>
      <c r="MB38" s="122"/>
      <c r="MC38" s="122"/>
      <c r="MD38" s="122"/>
      <c r="ME38" s="122"/>
      <c r="MF38" s="122"/>
      <c r="MG38" s="122"/>
      <c r="MH38" s="122"/>
      <c r="MI38" s="122"/>
      <c r="MJ38" s="122"/>
      <c r="MK38" s="122"/>
      <c r="ML38" s="122"/>
      <c r="MM38" s="122"/>
      <c r="MN38" s="122"/>
      <c r="MO38" s="122"/>
      <c r="MP38" s="122"/>
      <c r="MQ38" s="122"/>
      <c r="MR38" s="122"/>
      <c r="MS38" s="122"/>
      <c r="MT38" s="122"/>
      <c r="MU38" s="122"/>
      <c r="MV38" s="122"/>
      <c r="MW38" s="122"/>
      <c r="MX38" s="122"/>
      <c r="MY38" s="122"/>
      <c r="MZ38" s="122"/>
      <c r="NA38" s="122"/>
      <c r="NB38" s="122"/>
      <c r="NC38" s="122"/>
      <c r="ND38" s="122"/>
      <c r="NE38" s="122"/>
      <c r="NF38" s="122"/>
      <c r="NG38" s="122"/>
      <c r="NH38" s="122"/>
      <c r="NI38" s="122"/>
      <c r="NJ38" s="122"/>
      <c r="NK38" s="122"/>
      <c r="NL38" s="122"/>
      <c r="NM38" s="122"/>
      <c r="NN38" s="122"/>
      <c r="NO38" s="122"/>
      <c r="NP38" s="122"/>
      <c r="NQ38" s="122"/>
      <c r="NR38" s="122"/>
      <c r="NS38" s="122"/>
      <c r="NT38" s="122"/>
      <c r="NU38" s="122"/>
      <c r="NV38" s="122"/>
      <c r="NW38" s="122"/>
      <c r="NX38" s="122"/>
      <c r="NY38" s="122"/>
      <c r="NZ38" s="122"/>
      <c r="OA38" s="122"/>
      <c r="OB38" s="122"/>
      <c r="OC38" s="122"/>
      <c r="OD38" s="122"/>
      <c r="OE38" s="122"/>
      <c r="OF38" s="122"/>
      <c r="OG38" s="122"/>
      <c r="OH38" s="122"/>
      <c r="OI38" s="122"/>
      <c r="OJ38" s="122"/>
      <c r="OK38" s="122"/>
      <c r="OL38" s="122"/>
      <c r="OM38" s="122"/>
      <c r="ON38" s="122"/>
      <c r="OO38" s="122"/>
      <c r="OP38" s="122"/>
      <c r="OQ38" s="122"/>
      <c r="OR38" s="122"/>
      <c r="OS38" s="122"/>
      <c r="OT38" s="122"/>
      <c r="OU38" s="122"/>
      <c r="OV38" s="122"/>
      <c r="OW38" s="122"/>
      <c r="OX38" s="122"/>
      <c r="OY38" s="122"/>
      <c r="OZ38" s="122"/>
      <c r="PA38" s="122"/>
      <c r="PB38" s="122"/>
      <c r="PC38" s="122"/>
      <c r="PD38" s="122"/>
      <c r="PE38" s="122"/>
      <c r="PF38" s="122"/>
      <c r="PG38" s="122"/>
      <c r="PH38" s="122"/>
      <c r="PI38" s="122"/>
      <c r="PJ38" s="122"/>
      <c r="PK38" s="122"/>
      <c r="PL38" s="122"/>
      <c r="PM38" s="122"/>
      <c r="PN38" s="122"/>
      <c r="PO38" s="122"/>
      <c r="PP38" s="122"/>
      <c r="PQ38" s="122"/>
      <c r="PR38" s="122"/>
      <c r="PS38" s="122"/>
      <c r="PT38" s="122"/>
      <c r="PU38" s="122"/>
      <c r="PV38" s="122"/>
      <c r="PW38" s="122"/>
      <c r="PX38" s="122"/>
      <c r="PY38" s="122"/>
      <c r="PZ38" s="122"/>
      <c r="QA38" s="122"/>
      <c r="QB38" s="122"/>
      <c r="QC38" s="122"/>
      <c r="QD38" s="122"/>
      <c r="QE38" s="122"/>
      <c r="QF38" s="122"/>
      <c r="QG38" s="122"/>
      <c r="QH38" s="122"/>
      <c r="QI38" s="122"/>
      <c r="QJ38" s="122"/>
      <c r="QK38" s="122"/>
      <c r="QL38" s="122"/>
      <c r="QM38" s="122"/>
      <c r="QN38" s="122"/>
      <c r="QO38" s="122"/>
      <c r="QP38" s="122"/>
      <c r="QQ38" s="122"/>
      <c r="QR38" s="122"/>
      <c r="QS38" s="122"/>
      <c r="QT38" s="122"/>
      <c r="QU38" s="122"/>
      <c r="QV38" s="122"/>
      <c r="QW38" s="122"/>
      <c r="QX38" s="122"/>
      <c r="QY38" s="122"/>
      <c r="QZ38" s="122"/>
      <c r="RA38" s="122"/>
      <c r="RB38" s="122"/>
      <c r="RC38" s="122"/>
      <c r="RD38" s="122"/>
      <c r="RE38" s="122"/>
      <c r="RF38" s="122"/>
      <c r="RG38" s="122"/>
      <c r="RH38" s="122"/>
      <c r="RI38" s="122"/>
      <c r="RJ38" s="122"/>
      <c r="RK38" s="122"/>
      <c r="RL38" s="122"/>
      <c r="RM38" s="122"/>
      <c r="RN38" s="122"/>
      <c r="RO38" s="122"/>
      <c r="RP38" s="122"/>
      <c r="RQ38" s="122"/>
      <c r="RR38" s="122"/>
      <c r="RS38" s="122"/>
      <c r="RT38" s="122"/>
      <c r="RU38" s="122"/>
      <c r="RV38" s="122"/>
      <c r="RW38" s="122"/>
      <c r="RX38" s="122"/>
      <c r="RY38" s="122"/>
      <c r="RZ38" s="122"/>
      <c r="SA38" s="122"/>
      <c r="SB38" s="122"/>
      <c r="SC38" s="122"/>
      <c r="SD38" s="122"/>
      <c r="SE38" s="122"/>
      <c r="SF38" s="122"/>
    </row>
    <row r="39" spans="1:500" s="657" customFormat="1" ht="30.25" customHeight="1" x14ac:dyDescent="0.25">
      <c r="A39" s="593" t="s">
        <v>2593</v>
      </c>
      <c r="B39" s="593" t="s">
        <v>3436</v>
      </c>
      <c r="C39" s="594" t="str">
        <f t="shared" si="6"/>
        <v>CITROEN e-SpaceTourer (Business) XL 
(Batterie 50kWh)</v>
      </c>
      <c r="D39" s="593" t="s">
        <v>2741</v>
      </c>
      <c r="E39" s="593">
        <v>100</v>
      </c>
      <c r="F39" s="593" t="s">
        <v>2521</v>
      </c>
      <c r="G39" s="642">
        <v>23.9</v>
      </c>
      <c r="H39" s="593"/>
      <c r="I39" s="593">
        <v>0</v>
      </c>
      <c r="J39" s="595"/>
      <c r="K39" s="595"/>
      <c r="L39" s="595">
        <v>57850</v>
      </c>
      <c r="M39" s="596"/>
      <c r="N39" s="643" t="s">
        <v>2875</v>
      </c>
      <c r="O39" s="659"/>
      <c r="P39" s="603"/>
      <c r="Q39" s="603"/>
      <c r="R39" s="603"/>
      <c r="S39" s="603"/>
      <c r="T39" s="603"/>
      <c r="U39" s="603"/>
      <c r="V39" s="603"/>
      <c r="W39" s="603"/>
      <c r="X39" s="603"/>
      <c r="Y39" s="603"/>
      <c r="Z39" s="603"/>
      <c r="AA39" s="603"/>
      <c r="AB39" s="603"/>
      <c r="AC39" s="603"/>
      <c r="AD39" s="603"/>
      <c r="AE39" s="611"/>
      <c r="AF39" s="611"/>
      <c r="AG39" s="609"/>
      <c r="AH39" s="611"/>
      <c r="AI39" s="611"/>
      <c r="AJ39" s="611"/>
      <c r="AK39" s="611"/>
      <c r="AL39" s="611"/>
      <c r="AM39" s="119"/>
      <c r="AN39" s="119"/>
      <c r="AO39" s="119"/>
      <c r="AP39" s="120"/>
      <c r="AQ39" s="120"/>
      <c r="AR39" s="120"/>
      <c r="AS39" s="120"/>
      <c r="AT39" s="120"/>
      <c r="AU39" s="120"/>
      <c r="AV39" s="120"/>
      <c r="AW39" s="120"/>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2"/>
      <c r="EI39" s="122"/>
      <c r="EJ39" s="122"/>
      <c r="EK39" s="122"/>
      <c r="EL39" s="122"/>
      <c r="EM39" s="122"/>
      <c r="EN39" s="122"/>
      <c r="EO39" s="122"/>
      <c r="EP39" s="122"/>
      <c r="EQ39" s="122"/>
      <c r="ER39" s="122"/>
      <c r="ES39" s="122"/>
      <c r="ET39" s="122"/>
      <c r="EU39" s="122"/>
      <c r="EV39" s="122"/>
      <c r="EW39" s="122"/>
      <c r="EX39" s="122"/>
      <c r="EY39" s="122"/>
      <c r="EZ39" s="122"/>
      <c r="FA39" s="122"/>
      <c r="FB39" s="122"/>
      <c r="FC39" s="122"/>
      <c r="FD39" s="122"/>
      <c r="FE39" s="122"/>
      <c r="FF39" s="122"/>
      <c r="FG39" s="122"/>
      <c r="FH39" s="122"/>
      <c r="FI39" s="122"/>
      <c r="FJ39" s="122"/>
      <c r="FK39" s="122"/>
      <c r="FL39" s="122"/>
      <c r="FM39" s="122"/>
      <c r="FN39" s="122"/>
      <c r="FO39" s="122"/>
      <c r="FP39" s="122"/>
      <c r="FQ39" s="122"/>
      <c r="FR39" s="122"/>
      <c r="FS39" s="122"/>
      <c r="FT39" s="122"/>
      <c r="FU39" s="122"/>
      <c r="FV39" s="122"/>
      <c r="FW39" s="122"/>
      <c r="FX39" s="122"/>
      <c r="FY39" s="122"/>
      <c r="FZ39" s="122"/>
      <c r="GA39" s="122"/>
      <c r="GB39" s="122"/>
      <c r="GC39" s="122"/>
      <c r="GD39" s="122"/>
      <c r="GE39" s="122"/>
      <c r="GF39" s="122"/>
      <c r="GG39" s="122"/>
      <c r="GH39" s="122"/>
      <c r="GI39" s="122"/>
      <c r="GJ39" s="122"/>
      <c r="GK39" s="122"/>
      <c r="GL39" s="122"/>
      <c r="GM39" s="122"/>
      <c r="GN39" s="122"/>
      <c r="GO39" s="122"/>
      <c r="GP39" s="122"/>
      <c r="GQ39" s="122"/>
      <c r="GR39" s="122"/>
      <c r="GS39" s="122"/>
      <c r="GT39" s="122"/>
      <c r="GU39" s="122"/>
      <c r="GV39" s="122"/>
      <c r="GW39" s="122"/>
      <c r="GX39" s="122"/>
      <c r="GY39" s="122"/>
      <c r="GZ39" s="122"/>
      <c r="HA39" s="122"/>
      <c r="HB39" s="122"/>
      <c r="HC39" s="122"/>
      <c r="HD39" s="122"/>
      <c r="HE39" s="122"/>
      <c r="HF39" s="122"/>
      <c r="HG39" s="122"/>
      <c r="HH39" s="122"/>
      <c r="HI39" s="122"/>
      <c r="HJ39" s="122"/>
      <c r="HK39" s="122"/>
      <c r="HL39" s="122"/>
      <c r="HM39" s="122"/>
      <c r="HN39" s="122"/>
      <c r="HO39" s="122"/>
      <c r="HP39" s="122"/>
      <c r="HQ39" s="122"/>
      <c r="HR39" s="122"/>
      <c r="HS39" s="122"/>
      <c r="HT39" s="122"/>
      <c r="HU39" s="122"/>
      <c r="HV39" s="122"/>
      <c r="HW39" s="122"/>
      <c r="HX39" s="122"/>
      <c r="HY39" s="122"/>
      <c r="HZ39" s="122"/>
      <c r="IA39" s="122"/>
      <c r="IB39" s="122"/>
      <c r="IC39" s="122"/>
      <c r="ID39" s="122"/>
      <c r="IE39" s="122"/>
      <c r="IF39" s="122"/>
      <c r="IG39" s="122"/>
      <c r="IH39" s="122"/>
      <c r="II39" s="122"/>
      <c r="IJ39" s="122"/>
      <c r="IK39" s="122"/>
      <c r="IL39" s="122"/>
      <c r="IM39" s="122"/>
      <c r="IN39" s="122"/>
      <c r="IO39" s="122"/>
      <c r="IP39" s="122"/>
      <c r="IQ39" s="122"/>
      <c r="IR39" s="122"/>
      <c r="IS39" s="122"/>
      <c r="IT39" s="122"/>
      <c r="IU39" s="122"/>
      <c r="IV39" s="122"/>
      <c r="IW39" s="122"/>
      <c r="IX39" s="122"/>
      <c r="IY39" s="122"/>
      <c r="IZ39" s="122"/>
      <c r="JA39" s="122"/>
      <c r="JB39" s="122"/>
      <c r="JC39" s="122"/>
      <c r="JD39" s="122"/>
      <c r="JE39" s="122"/>
      <c r="JF39" s="122"/>
      <c r="JG39" s="122"/>
      <c r="JH39" s="122"/>
      <c r="JI39" s="122"/>
      <c r="JJ39" s="122"/>
      <c r="JK39" s="122"/>
      <c r="JL39" s="122"/>
      <c r="JM39" s="122"/>
      <c r="JN39" s="122"/>
      <c r="JO39" s="122"/>
      <c r="JP39" s="122"/>
      <c r="JQ39" s="122"/>
      <c r="JR39" s="122"/>
      <c r="JS39" s="122"/>
      <c r="JT39" s="122"/>
      <c r="JU39" s="122"/>
      <c r="JV39" s="122"/>
      <c r="JW39" s="122"/>
      <c r="JX39" s="122"/>
      <c r="JY39" s="122"/>
      <c r="JZ39" s="122"/>
      <c r="KA39" s="122"/>
      <c r="KB39" s="122"/>
      <c r="KC39" s="122"/>
      <c r="KD39" s="122"/>
      <c r="KE39" s="122"/>
      <c r="KF39" s="122"/>
      <c r="KG39" s="122"/>
      <c r="KH39" s="122"/>
      <c r="KI39" s="122"/>
      <c r="KJ39" s="122"/>
      <c r="KK39" s="122"/>
      <c r="KL39" s="122"/>
      <c r="KM39" s="122"/>
      <c r="KN39" s="122"/>
      <c r="KO39" s="122"/>
      <c r="KP39" s="122"/>
      <c r="KQ39" s="122"/>
      <c r="KR39" s="122"/>
      <c r="KS39" s="122"/>
      <c r="KT39" s="122"/>
      <c r="KU39" s="122"/>
      <c r="KV39" s="122"/>
      <c r="KW39" s="122"/>
      <c r="KX39" s="122"/>
      <c r="KY39" s="122"/>
      <c r="KZ39" s="122"/>
      <c r="LA39" s="122"/>
      <c r="LB39" s="122"/>
      <c r="LC39" s="122"/>
      <c r="LD39" s="122"/>
      <c r="LE39" s="122"/>
      <c r="LF39" s="122"/>
      <c r="LG39" s="122"/>
      <c r="LH39" s="122"/>
      <c r="LI39" s="122"/>
      <c r="LJ39" s="122"/>
      <c r="LK39" s="122"/>
      <c r="LL39" s="122"/>
      <c r="LM39" s="122"/>
      <c r="LN39" s="122"/>
      <c r="LO39" s="122"/>
      <c r="LP39" s="122"/>
      <c r="LQ39" s="122"/>
      <c r="LR39" s="122"/>
      <c r="LS39" s="122"/>
      <c r="LT39" s="122"/>
      <c r="LU39" s="122"/>
      <c r="LV39" s="122"/>
      <c r="LW39" s="122"/>
      <c r="LX39" s="122"/>
      <c r="LY39" s="122"/>
      <c r="LZ39" s="122"/>
      <c r="MA39" s="122"/>
      <c r="MB39" s="122"/>
      <c r="MC39" s="122"/>
      <c r="MD39" s="122"/>
      <c r="ME39" s="122"/>
      <c r="MF39" s="122"/>
      <c r="MG39" s="122"/>
      <c r="MH39" s="122"/>
      <c r="MI39" s="122"/>
      <c r="MJ39" s="122"/>
      <c r="MK39" s="122"/>
      <c r="ML39" s="122"/>
      <c r="MM39" s="122"/>
      <c r="MN39" s="122"/>
      <c r="MO39" s="122"/>
      <c r="MP39" s="122"/>
      <c r="MQ39" s="122"/>
      <c r="MR39" s="122"/>
      <c r="MS39" s="122"/>
      <c r="MT39" s="122"/>
      <c r="MU39" s="122"/>
      <c r="MV39" s="122"/>
      <c r="MW39" s="122"/>
      <c r="MX39" s="122"/>
      <c r="MY39" s="122"/>
      <c r="MZ39" s="122"/>
      <c r="NA39" s="122"/>
      <c r="NB39" s="122"/>
      <c r="NC39" s="122"/>
      <c r="ND39" s="122"/>
      <c r="NE39" s="122"/>
      <c r="NF39" s="122"/>
      <c r="NG39" s="122"/>
      <c r="NH39" s="122"/>
      <c r="NI39" s="122"/>
      <c r="NJ39" s="122"/>
      <c r="NK39" s="122"/>
      <c r="NL39" s="122"/>
      <c r="NM39" s="122"/>
      <c r="NN39" s="122"/>
      <c r="NO39" s="122"/>
      <c r="NP39" s="122"/>
      <c r="NQ39" s="122"/>
      <c r="NR39" s="122"/>
      <c r="NS39" s="122"/>
      <c r="NT39" s="122"/>
      <c r="NU39" s="122"/>
      <c r="NV39" s="122"/>
      <c r="NW39" s="122"/>
      <c r="NX39" s="122"/>
      <c r="NY39" s="122"/>
      <c r="NZ39" s="122"/>
      <c r="OA39" s="122"/>
      <c r="OB39" s="122"/>
      <c r="OC39" s="122"/>
      <c r="OD39" s="122"/>
      <c r="OE39" s="122"/>
      <c r="OF39" s="122"/>
      <c r="OG39" s="122"/>
      <c r="OH39" s="122"/>
      <c r="OI39" s="122"/>
      <c r="OJ39" s="122"/>
      <c r="OK39" s="122"/>
      <c r="OL39" s="122"/>
      <c r="OM39" s="122"/>
      <c r="ON39" s="122"/>
      <c r="OO39" s="122"/>
      <c r="OP39" s="122"/>
      <c r="OQ39" s="122"/>
      <c r="OR39" s="122"/>
      <c r="OS39" s="122"/>
      <c r="OT39" s="122"/>
      <c r="OU39" s="122"/>
      <c r="OV39" s="122"/>
      <c r="OW39" s="122"/>
      <c r="OX39" s="122"/>
      <c r="OY39" s="122"/>
      <c r="OZ39" s="122"/>
      <c r="PA39" s="122"/>
      <c r="PB39" s="122"/>
      <c r="PC39" s="122"/>
      <c r="PD39" s="122"/>
      <c r="PE39" s="122"/>
      <c r="PF39" s="122"/>
      <c r="PG39" s="122"/>
      <c r="PH39" s="122"/>
      <c r="PI39" s="122"/>
      <c r="PJ39" s="122"/>
      <c r="PK39" s="122"/>
      <c r="PL39" s="122"/>
      <c r="PM39" s="122"/>
      <c r="PN39" s="122"/>
      <c r="PO39" s="122"/>
      <c r="PP39" s="122"/>
      <c r="PQ39" s="122"/>
      <c r="PR39" s="122"/>
      <c r="PS39" s="122"/>
      <c r="PT39" s="122"/>
      <c r="PU39" s="122"/>
      <c r="PV39" s="122"/>
      <c r="PW39" s="122"/>
      <c r="PX39" s="122"/>
      <c r="PY39" s="122"/>
      <c r="PZ39" s="122"/>
      <c r="QA39" s="122"/>
      <c r="QB39" s="122"/>
      <c r="QC39" s="122"/>
      <c r="QD39" s="122"/>
      <c r="QE39" s="122"/>
      <c r="QF39" s="122"/>
      <c r="QG39" s="122"/>
      <c r="QH39" s="122"/>
      <c r="QI39" s="122"/>
      <c r="QJ39" s="122"/>
      <c r="QK39" s="122"/>
      <c r="QL39" s="122"/>
      <c r="QM39" s="122"/>
      <c r="QN39" s="122"/>
      <c r="QO39" s="122"/>
      <c r="QP39" s="122"/>
      <c r="QQ39" s="122"/>
      <c r="QR39" s="122"/>
      <c r="QS39" s="122"/>
      <c r="QT39" s="122"/>
      <c r="QU39" s="122"/>
      <c r="QV39" s="122"/>
      <c r="QW39" s="122"/>
      <c r="QX39" s="122"/>
      <c r="QY39" s="122"/>
      <c r="QZ39" s="122"/>
      <c r="RA39" s="122"/>
      <c r="RB39" s="122"/>
      <c r="RC39" s="122"/>
      <c r="RD39" s="122"/>
      <c r="RE39" s="122"/>
      <c r="RF39" s="122"/>
      <c r="RG39" s="122"/>
      <c r="RH39" s="122"/>
      <c r="RI39" s="122"/>
      <c r="RJ39" s="122"/>
      <c r="RK39" s="122"/>
      <c r="RL39" s="122"/>
      <c r="RM39" s="122"/>
      <c r="RN39" s="122"/>
      <c r="RO39" s="122"/>
      <c r="RP39" s="122"/>
      <c r="RQ39" s="122"/>
      <c r="RR39" s="122"/>
      <c r="RS39" s="122"/>
      <c r="RT39" s="122"/>
      <c r="RU39" s="122"/>
      <c r="RV39" s="122"/>
      <c r="RW39" s="122"/>
      <c r="RX39" s="122"/>
      <c r="RY39" s="122"/>
      <c r="RZ39" s="122"/>
      <c r="SA39" s="122"/>
      <c r="SB39" s="122"/>
      <c r="SC39" s="122"/>
      <c r="SD39" s="122"/>
      <c r="SE39" s="122"/>
      <c r="SF39" s="122"/>
    </row>
    <row r="40" spans="1:500" s="657" customFormat="1" ht="30.25" customHeight="1" x14ac:dyDescent="0.25">
      <c r="A40" s="593" t="s">
        <v>2593</v>
      </c>
      <c r="B40" s="593" t="s">
        <v>3437</v>
      </c>
      <c r="C40" s="594" t="str">
        <f t="shared" si="6"/>
        <v>CITROEN e-SpaceTourer (Business) XL 
(Batterie 75kWh)</v>
      </c>
      <c r="D40" s="593" t="s">
        <v>2741</v>
      </c>
      <c r="E40" s="593">
        <v>100</v>
      </c>
      <c r="F40" s="593" t="s">
        <v>2521</v>
      </c>
      <c r="G40" s="642">
        <v>25.9</v>
      </c>
      <c r="H40" s="593"/>
      <c r="I40" s="593">
        <v>0</v>
      </c>
      <c r="J40" s="595"/>
      <c r="K40" s="595"/>
      <c r="L40" s="595">
        <v>63850</v>
      </c>
      <c r="M40" s="596"/>
      <c r="N40" s="643" t="s">
        <v>2875</v>
      </c>
      <c r="O40" s="659"/>
      <c r="P40" s="603"/>
      <c r="Q40" s="603"/>
      <c r="R40" s="603"/>
      <c r="S40" s="603"/>
      <c r="T40" s="603"/>
      <c r="U40" s="603"/>
      <c r="V40" s="603"/>
      <c r="W40" s="603"/>
      <c r="X40" s="603"/>
      <c r="Y40" s="603"/>
      <c r="Z40" s="603"/>
      <c r="AA40" s="603"/>
      <c r="AB40" s="603"/>
      <c r="AC40" s="603"/>
      <c r="AD40" s="603"/>
      <c r="AE40" s="611"/>
      <c r="AF40" s="611"/>
      <c r="AG40" s="609"/>
      <c r="AH40" s="611"/>
      <c r="AI40" s="611"/>
      <c r="AJ40" s="611"/>
      <c r="AK40" s="611"/>
      <c r="AL40" s="611"/>
      <c r="AM40" s="119"/>
      <c r="AN40" s="119"/>
      <c r="AO40" s="119"/>
      <c r="AP40" s="120"/>
      <c r="AQ40" s="120"/>
      <c r="AR40" s="120"/>
      <c r="AS40" s="120"/>
      <c r="AT40" s="120"/>
      <c r="AU40" s="120"/>
      <c r="AV40" s="120"/>
      <c r="AW40" s="120"/>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2"/>
      <c r="EI40" s="122"/>
      <c r="EJ40" s="122"/>
      <c r="EK40" s="122"/>
      <c r="EL40" s="122"/>
      <c r="EM40" s="122"/>
      <c r="EN40" s="122"/>
      <c r="EO40" s="122"/>
      <c r="EP40" s="122"/>
      <c r="EQ40" s="122"/>
      <c r="ER40" s="122"/>
      <c r="ES40" s="122"/>
      <c r="ET40" s="122"/>
      <c r="EU40" s="122"/>
      <c r="EV40" s="122"/>
      <c r="EW40" s="122"/>
      <c r="EX40" s="122"/>
      <c r="EY40" s="122"/>
      <c r="EZ40" s="122"/>
      <c r="FA40" s="122"/>
      <c r="FB40" s="122"/>
      <c r="FC40" s="122"/>
      <c r="FD40" s="122"/>
      <c r="FE40" s="122"/>
      <c r="FF40" s="122"/>
      <c r="FG40" s="122"/>
      <c r="FH40" s="122"/>
      <c r="FI40" s="122"/>
      <c r="FJ40" s="122"/>
      <c r="FK40" s="122"/>
      <c r="FL40" s="122"/>
      <c r="FM40" s="122"/>
      <c r="FN40" s="122"/>
      <c r="FO40" s="122"/>
      <c r="FP40" s="122"/>
      <c r="FQ40" s="122"/>
      <c r="FR40" s="122"/>
      <c r="FS40" s="122"/>
      <c r="FT40" s="122"/>
      <c r="FU40" s="122"/>
      <c r="FV40" s="122"/>
      <c r="FW40" s="122"/>
      <c r="FX40" s="122"/>
      <c r="FY40" s="122"/>
      <c r="FZ40" s="122"/>
      <c r="GA40" s="122"/>
      <c r="GB40" s="122"/>
      <c r="GC40" s="122"/>
      <c r="GD40" s="122"/>
      <c r="GE40" s="122"/>
      <c r="GF40" s="122"/>
      <c r="GG40" s="122"/>
      <c r="GH40" s="122"/>
      <c r="GI40" s="122"/>
      <c r="GJ40" s="122"/>
      <c r="GK40" s="122"/>
      <c r="GL40" s="122"/>
      <c r="GM40" s="122"/>
      <c r="GN40" s="122"/>
      <c r="GO40" s="122"/>
      <c r="GP40" s="122"/>
      <c r="GQ40" s="122"/>
      <c r="GR40" s="122"/>
      <c r="GS40" s="122"/>
      <c r="GT40" s="122"/>
      <c r="GU40" s="122"/>
      <c r="GV40" s="122"/>
      <c r="GW40" s="122"/>
      <c r="GX40" s="122"/>
      <c r="GY40" s="122"/>
      <c r="GZ40" s="122"/>
      <c r="HA40" s="122"/>
      <c r="HB40" s="122"/>
      <c r="HC40" s="122"/>
      <c r="HD40" s="122"/>
      <c r="HE40" s="122"/>
      <c r="HF40" s="122"/>
      <c r="HG40" s="122"/>
      <c r="HH40" s="122"/>
      <c r="HI40" s="122"/>
      <c r="HJ40" s="122"/>
      <c r="HK40" s="122"/>
      <c r="HL40" s="122"/>
      <c r="HM40" s="122"/>
      <c r="HN40" s="122"/>
      <c r="HO40" s="122"/>
      <c r="HP40" s="122"/>
      <c r="HQ40" s="122"/>
      <c r="HR40" s="122"/>
      <c r="HS40" s="122"/>
      <c r="HT40" s="122"/>
      <c r="HU40" s="122"/>
      <c r="HV40" s="122"/>
      <c r="HW40" s="122"/>
      <c r="HX40" s="122"/>
      <c r="HY40" s="122"/>
      <c r="HZ40" s="122"/>
      <c r="IA40" s="122"/>
      <c r="IB40" s="122"/>
      <c r="IC40" s="122"/>
      <c r="ID40" s="122"/>
      <c r="IE40" s="122"/>
      <c r="IF40" s="122"/>
      <c r="IG40" s="122"/>
      <c r="IH40" s="122"/>
      <c r="II40" s="122"/>
      <c r="IJ40" s="122"/>
      <c r="IK40" s="122"/>
      <c r="IL40" s="122"/>
      <c r="IM40" s="122"/>
      <c r="IN40" s="122"/>
      <c r="IO40" s="122"/>
      <c r="IP40" s="122"/>
      <c r="IQ40" s="122"/>
      <c r="IR40" s="122"/>
      <c r="IS40" s="122"/>
      <c r="IT40" s="122"/>
      <c r="IU40" s="122"/>
      <c r="IV40" s="122"/>
      <c r="IW40" s="122"/>
      <c r="IX40" s="122"/>
      <c r="IY40" s="122"/>
      <c r="IZ40" s="122"/>
      <c r="JA40" s="122"/>
      <c r="JB40" s="122"/>
      <c r="JC40" s="122"/>
      <c r="JD40" s="122"/>
      <c r="JE40" s="122"/>
      <c r="JF40" s="122"/>
      <c r="JG40" s="122"/>
      <c r="JH40" s="122"/>
      <c r="JI40" s="122"/>
      <c r="JJ40" s="122"/>
      <c r="JK40" s="122"/>
      <c r="JL40" s="122"/>
      <c r="JM40" s="122"/>
      <c r="JN40" s="122"/>
      <c r="JO40" s="122"/>
      <c r="JP40" s="122"/>
      <c r="JQ40" s="122"/>
      <c r="JR40" s="122"/>
      <c r="JS40" s="122"/>
      <c r="JT40" s="122"/>
      <c r="JU40" s="122"/>
      <c r="JV40" s="122"/>
      <c r="JW40" s="122"/>
      <c r="JX40" s="122"/>
      <c r="JY40" s="122"/>
      <c r="JZ40" s="122"/>
      <c r="KA40" s="122"/>
      <c r="KB40" s="122"/>
      <c r="KC40" s="122"/>
      <c r="KD40" s="122"/>
      <c r="KE40" s="122"/>
      <c r="KF40" s="122"/>
      <c r="KG40" s="122"/>
      <c r="KH40" s="122"/>
      <c r="KI40" s="122"/>
      <c r="KJ40" s="122"/>
      <c r="KK40" s="122"/>
      <c r="KL40" s="122"/>
      <c r="KM40" s="122"/>
      <c r="KN40" s="122"/>
      <c r="KO40" s="122"/>
      <c r="KP40" s="122"/>
      <c r="KQ40" s="122"/>
      <c r="KR40" s="122"/>
      <c r="KS40" s="122"/>
      <c r="KT40" s="122"/>
      <c r="KU40" s="122"/>
      <c r="KV40" s="122"/>
      <c r="KW40" s="122"/>
      <c r="KX40" s="122"/>
      <c r="KY40" s="122"/>
      <c r="KZ40" s="122"/>
      <c r="LA40" s="122"/>
      <c r="LB40" s="122"/>
      <c r="LC40" s="122"/>
      <c r="LD40" s="122"/>
      <c r="LE40" s="122"/>
      <c r="LF40" s="122"/>
      <c r="LG40" s="122"/>
      <c r="LH40" s="122"/>
      <c r="LI40" s="122"/>
      <c r="LJ40" s="122"/>
      <c r="LK40" s="122"/>
      <c r="LL40" s="122"/>
      <c r="LM40" s="122"/>
      <c r="LN40" s="122"/>
      <c r="LO40" s="122"/>
      <c r="LP40" s="122"/>
      <c r="LQ40" s="122"/>
      <c r="LR40" s="122"/>
      <c r="LS40" s="122"/>
      <c r="LT40" s="122"/>
      <c r="LU40" s="122"/>
      <c r="LV40" s="122"/>
      <c r="LW40" s="122"/>
      <c r="LX40" s="122"/>
      <c r="LY40" s="122"/>
      <c r="LZ40" s="122"/>
      <c r="MA40" s="122"/>
      <c r="MB40" s="122"/>
      <c r="MC40" s="122"/>
      <c r="MD40" s="122"/>
      <c r="ME40" s="122"/>
      <c r="MF40" s="122"/>
      <c r="MG40" s="122"/>
      <c r="MH40" s="122"/>
      <c r="MI40" s="122"/>
      <c r="MJ40" s="122"/>
      <c r="MK40" s="122"/>
      <c r="ML40" s="122"/>
      <c r="MM40" s="122"/>
      <c r="MN40" s="122"/>
      <c r="MO40" s="122"/>
      <c r="MP40" s="122"/>
      <c r="MQ40" s="122"/>
      <c r="MR40" s="122"/>
      <c r="MS40" s="122"/>
      <c r="MT40" s="122"/>
      <c r="MU40" s="122"/>
      <c r="MV40" s="122"/>
      <c r="MW40" s="122"/>
      <c r="MX40" s="122"/>
      <c r="MY40" s="122"/>
      <c r="MZ40" s="122"/>
      <c r="NA40" s="122"/>
      <c r="NB40" s="122"/>
      <c r="NC40" s="122"/>
      <c r="ND40" s="122"/>
      <c r="NE40" s="122"/>
      <c r="NF40" s="122"/>
      <c r="NG40" s="122"/>
      <c r="NH40" s="122"/>
      <c r="NI40" s="122"/>
      <c r="NJ40" s="122"/>
      <c r="NK40" s="122"/>
      <c r="NL40" s="122"/>
      <c r="NM40" s="122"/>
      <c r="NN40" s="122"/>
      <c r="NO40" s="122"/>
      <c r="NP40" s="122"/>
      <c r="NQ40" s="122"/>
      <c r="NR40" s="122"/>
      <c r="NS40" s="122"/>
      <c r="NT40" s="122"/>
      <c r="NU40" s="122"/>
      <c r="NV40" s="122"/>
      <c r="NW40" s="122"/>
      <c r="NX40" s="122"/>
      <c r="NY40" s="122"/>
      <c r="NZ40" s="122"/>
      <c r="OA40" s="122"/>
      <c r="OB40" s="122"/>
      <c r="OC40" s="122"/>
      <c r="OD40" s="122"/>
      <c r="OE40" s="122"/>
      <c r="OF40" s="122"/>
      <c r="OG40" s="122"/>
      <c r="OH40" s="122"/>
      <c r="OI40" s="122"/>
      <c r="OJ40" s="122"/>
      <c r="OK40" s="122"/>
      <c r="OL40" s="122"/>
      <c r="OM40" s="122"/>
      <c r="ON40" s="122"/>
      <c r="OO40" s="122"/>
      <c r="OP40" s="122"/>
      <c r="OQ40" s="122"/>
      <c r="OR40" s="122"/>
      <c r="OS40" s="122"/>
      <c r="OT40" s="122"/>
      <c r="OU40" s="122"/>
      <c r="OV40" s="122"/>
      <c r="OW40" s="122"/>
      <c r="OX40" s="122"/>
      <c r="OY40" s="122"/>
      <c r="OZ40" s="122"/>
      <c r="PA40" s="122"/>
      <c r="PB40" s="122"/>
      <c r="PC40" s="122"/>
      <c r="PD40" s="122"/>
      <c r="PE40" s="122"/>
      <c r="PF40" s="122"/>
      <c r="PG40" s="122"/>
      <c r="PH40" s="122"/>
      <c r="PI40" s="122"/>
      <c r="PJ40" s="122"/>
      <c r="PK40" s="122"/>
      <c r="PL40" s="122"/>
      <c r="PM40" s="122"/>
      <c r="PN40" s="122"/>
      <c r="PO40" s="122"/>
      <c r="PP40" s="122"/>
      <c r="PQ40" s="122"/>
      <c r="PR40" s="122"/>
      <c r="PS40" s="122"/>
      <c r="PT40" s="122"/>
      <c r="PU40" s="122"/>
      <c r="PV40" s="122"/>
      <c r="PW40" s="122"/>
      <c r="PX40" s="122"/>
      <c r="PY40" s="122"/>
      <c r="PZ40" s="122"/>
      <c r="QA40" s="122"/>
      <c r="QB40" s="122"/>
      <c r="QC40" s="122"/>
      <c r="QD40" s="122"/>
      <c r="QE40" s="122"/>
      <c r="QF40" s="122"/>
      <c r="QG40" s="122"/>
      <c r="QH40" s="122"/>
      <c r="QI40" s="122"/>
      <c r="QJ40" s="122"/>
      <c r="QK40" s="122"/>
      <c r="QL40" s="122"/>
      <c r="QM40" s="122"/>
      <c r="QN40" s="122"/>
      <c r="QO40" s="122"/>
      <c r="QP40" s="122"/>
      <c r="QQ40" s="122"/>
      <c r="QR40" s="122"/>
      <c r="QS40" s="122"/>
      <c r="QT40" s="122"/>
      <c r="QU40" s="122"/>
      <c r="QV40" s="122"/>
      <c r="QW40" s="122"/>
      <c r="QX40" s="122"/>
      <c r="QY40" s="122"/>
      <c r="QZ40" s="122"/>
      <c r="RA40" s="122"/>
      <c r="RB40" s="122"/>
      <c r="RC40" s="122"/>
      <c r="RD40" s="122"/>
      <c r="RE40" s="122"/>
      <c r="RF40" s="122"/>
      <c r="RG40" s="122"/>
      <c r="RH40" s="122"/>
      <c r="RI40" s="122"/>
      <c r="RJ40" s="122"/>
      <c r="RK40" s="122"/>
      <c r="RL40" s="122"/>
      <c r="RM40" s="122"/>
      <c r="RN40" s="122"/>
      <c r="RO40" s="122"/>
      <c r="RP40" s="122"/>
      <c r="RQ40" s="122"/>
      <c r="RR40" s="122"/>
      <c r="RS40" s="122"/>
      <c r="RT40" s="122"/>
      <c r="RU40" s="122"/>
      <c r="RV40" s="122"/>
      <c r="RW40" s="122"/>
      <c r="RX40" s="122"/>
      <c r="RY40" s="122"/>
      <c r="RZ40" s="122"/>
      <c r="SA40" s="122"/>
      <c r="SB40" s="122"/>
      <c r="SC40" s="122"/>
      <c r="SD40" s="122"/>
      <c r="SE40" s="122"/>
      <c r="SF40" s="122"/>
    </row>
    <row r="41" spans="1:500" s="657" customFormat="1" ht="41.45" customHeight="1" x14ac:dyDescent="0.25">
      <c r="A41" s="593" t="s">
        <v>2593</v>
      </c>
      <c r="B41" s="593" t="s">
        <v>3444</v>
      </c>
      <c r="C41" s="594" t="str">
        <f t="shared" ref="C41:C45" si="7">CONCATENATE(A41," ",B41)</f>
        <v>CITROEN e-SpaceTourer (Business Lounge) M 
(Batterie 75kWh)</v>
      </c>
      <c r="D41" s="593" t="s">
        <v>2741</v>
      </c>
      <c r="E41" s="593">
        <v>100</v>
      </c>
      <c r="F41" s="593" t="s">
        <v>2521</v>
      </c>
      <c r="G41" s="642">
        <v>25.9</v>
      </c>
      <c r="H41" s="593"/>
      <c r="I41" s="593">
        <v>0</v>
      </c>
      <c r="J41" s="595"/>
      <c r="K41" s="595"/>
      <c r="L41" s="595">
        <v>71400</v>
      </c>
      <c r="M41" s="596"/>
      <c r="N41" s="643" t="s">
        <v>2875</v>
      </c>
      <c r="O41" s="659"/>
      <c r="P41" s="603"/>
      <c r="Q41" s="603"/>
      <c r="R41" s="603"/>
      <c r="S41" s="603"/>
      <c r="T41" s="603"/>
      <c r="U41" s="603"/>
      <c r="V41" s="603"/>
      <c r="W41" s="603"/>
      <c r="X41" s="603"/>
      <c r="Y41" s="603"/>
      <c r="Z41" s="603"/>
      <c r="AA41" s="603"/>
      <c r="AB41" s="603"/>
      <c r="AC41" s="603"/>
      <c r="AD41" s="603"/>
      <c r="AE41" s="611"/>
      <c r="AF41" s="611"/>
      <c r="AG41" s="609"/>
      <c r="AH41" s="611"/>
      <c r="AI41" s="611"/>
      <c r="AJ41" s="611"/>
      <c r="AK41" s="611"/>
      <c r="AL41" s="611"/>
      <c r="AM41" s="119"/>
      <c r="AN41" s="119"/>
      <c r="AO41" s="119"/>
      <c r="AP41" s="120"/>
      <c r="AQ41" s="120"/>
      <c r="AR41" s="120"/>
      <c r="AS41" s="120"/>
      <c r="AT41" s="120"/>
      <c r="AU41" s="120"/>
      <c r="AV41" s="120"/>
      <c r="AW41" s="120"/>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2"/>
      <c r="EI41" s="122"/>
      <c r="EJ41" s="122"/>
      <c r="EK41" s="122"/>
      <c r="EL41" s="122"/>
      <c r="EM41" s="122"/>
      <c r="EN41" s="122"/>
      <c r="EO41" s="122"/>
      <c r="EP41" s="122"/>
      <c r="EQ41" s="122"/>
      <c r="ER41" s="122"/>
      <c r="ES41" s="122"/>
      <c r="ET41" s="122"/>
      <c r="EU41" s="122"/>
      <c r="EV41" s="122"/>
      <c r="EW41" s="122"/>
      <c r="EX41" s="122"/>
      <c r="EY41" s="122"/>
      <c r="EZ41" s="122"/>
      <c r="FA41" s="122"/>
      <c r="FB41" s="122"/>
      <c r="FC41" s="122"/>
      <c r="FD41" s="122"/>
      <c r="FE41" s="122"/>
      <c r="FF41" s="122"/>
      <c r="FG41" s="122"/>
      <c r="FH41" s="122"/>
      <c r="FI41" s="122"/>
      <c r="FJ41" s="122"/>
      <c r="FK41" s="122"/>
      <c r="FL41" s="122"/>
      <c r="FM41" s="122"/>
      <c r="FN41" s="122"/>
      <c r="FO41" s="122"/>
      <c r="FP41" s="122"/>
      <c r="FQ41" s="122"/>
      <c r="FR41" s="122"/>
      <c r="FS41" s="122"/>
      <c r="FT41" s="122"/>
      <c r="FU41" s="122"/>
      <c r="FV41" s="122"/>
      <c r="FW41" s="122"/>
      <c r="FX41" s="122"/>
      <c r="FY41" s="122"/>
      <c r="FZ41" s="122"/>
      <c r="GA41" s="122"/>
      <c r="GB41" s="122"/>
      <c r="GC41" s="122"/>
      <c r="GD41" s="122"/>
      <c r="GE41" s="122"/>
      <c r="GF41" s="122"/>
      <c r="GG41" s="122"/>
      <c r="GH41" s="122"/>
      <c r="GI41" s="122"/>
      <c r="GJ41" s="122"/>
      <c r="GK41" s="122"/>
      <c r="GL41" s="122"/>
      <c r="GM41" s="122"/>
      <c r="GN41" s="122"/>
      <c r="GO41" s="122"/>
      <c r="GP41" s="122"/>
      <c r="GQ41" s="122"/>
      <c r="GR41" s="122"/>
      <c r="GS41" s="122"/>
      <c r="GT41" s="122"/>
      <c r="GU41" s="122"/>
      <c r="GV41" s="122"/>
      <c r="GW41" s="122"/>
      <c r="GX41" s="122"/>
      <c r="GY41" s="122"/>
      <c r="GZ41" s="122"/>
      <c r="HA41" s="122"/>
      <c r="HB41" s="122"/>
      <c r="HC41" s="122"/>
      <c r="HD41" s="122"/>
      <c r="HE41" s="122"/>
      <c r="HF41" s="122"/>
      <c r="HG41" s="122"/>
      <c r="HH41" s="122"/>
      <c r="HI41" s="122"/>
      <c r="HJ41" s="122"/>
      <c r="HK41" s="122"/>
      <c r="HL41" s="122"/>
      <c r="HM41" s="122"/>
      <c r="HN41" s="122"/>
      <c r="HO41" s="122"/>
      <c r="HP41" s="122"/>
      <c r="HQ41" s="122"/>
      <c r="HR41" s="122"/>
      <c r="HS41" s="122"/>
      <c r="HT41" s="122"/>
      <c r="HU41" s="122"/>
      <c r="HV41" s="122"/>
      <c r="HW41" s="122"/>
      <c r="HX41" s="122"/>
      <c r="HY41" s="122"/>
      <c r="HZ41" s="122"/>
      <c r="IA41" s="122"/>
      <c r="IB41" s="122"/>
      <c r="IC41" s="122"/>
      <c r="ID41" s="122"/>
      <c r="IE41" s="122"/>
      <c r="IF41" s="122"/>
      <c r="IG41" s="122"/>
      <c r="IH41" s="122"/>
      <c r="II41" s="122"/>
      <c r="IJ41" s="122"/>
      <c r="IK41" s="122"/>
      <c r="IL41" s="122"/>
      <c r="IM41" s="122"/>
      <c r="IN41" s="122"/>
      <c r="IO41" s="122"/>
      <c r="IP41" s="122"/>
      <c r="IQ41" s="122"/>
      <c r="IR41" s="122"/>
      <c r="IS41" s="122"/>
      <c r="IT41" s="122"/>
      <c r="IU41" s="122"/>
      <c r="IV41" s="122"/>
      <c r="IW41" s="122"/>
      <c r="IX41" s="122"/>
      <c r="IY41" s="122"/>
      <c r="IZ41" s="122"/>
      <c r="JA41" s="122"/>
      <c r="JB41" s="122"/>
      <c r="JC41" s="122"/>
      <c r="JD41" s="122"/>
      <c r="JE41" s="122"/>
      <c r="JF41" s="122"/>
      <c r="JG41" s="122"/>
      <c r="JH41" s="122"/>
      <c r="JI41" s="122"/>
      <c r="JJ41" s="122"/>
      <c r="JK41" s="122"/>
      <c r="JL41" s="122"/>
      <c r="JM41" s="122"/>
      <c r="JN41" s="122"/>
      <c r="JO41" s="122"/>
      <c r="JP41" s="122"/>
      <c r="JQ41" s="122"/>
      <c r="JR41" s="122"/>
      <c r="JS41" s="122"/>
      <c r="JT41" s="122"/>
      <c r="JU41" s="122"/>
      <c r="JV41" s="122"/>
      <c r="JW41" s="122"/>
      <c r="JX41" s="122"/>
      <c r="JY41" s="122"/>
      <c r="JZ41" s="122"/>
      <c r="KA41" s="122"/>
      <c r="KB41" s="122"/>
      <c r="KC41" s="122"/>
      <c r="KD41" s="122"/>
      <c r="KE41" s="122"/>
      <c r="KF41" s="122"/>
      <c r="KG41" s="122"/>
      <c r="KH41" s="122"/>
      <c r="KI41" s="122"/>
      <c r="KJ41" s="122"/>
      <c r="KK41" s="122"/>
      <c r="KL41" s="122"/>
      <c r="KM41" s="122"/>
      <c r="KN41" s="122"/>
      <c r="KO41" s="122"/>
      <c r="KP41" s="122"/>
      <c r="KQ41" s="122"/>
      <c r="KR41" s="122"/>
      <c r="KS41" s="122"/>
      <c r="KT41" s="122"/>
      <c r="KU41" s="122"/>
      <c r="KV41" s="122"/>
      <c r="KW41" s="122"/>
      <c r="KX41" s="122"/>
      <c r="KY41" s="122"/>
      <c r="KZ41" s="122"/>
      <c r="LA41" s="122"/>
      <c r="LB41" s="122"/>
      <c r="LC41" s="122"/>
      <c r="LD41" s="122"/>
      <c r="LE41" s="122"/>
      <c r="LF41" s="122"/>
      <c r="LG41" s="122"/>
      <c r="LH41" s="122"/>
      <c r="LI41" s="122"/>
      <c r="LJ41" s="122"/>
      <c r="LK41" s="122"/>
      <c r="LL41" s="122"/>
      <c r="LM41" s="122"/>
      <c r="LN41" s="122"/>
      <c r="LO41" s="122"/>
      <c r="LP41" s="122"/>
      <c r="LQ41" s="122"/>
      <c r="LR41" s="122"/>
      <c r="LS41" s="122"/>
      <c r="LT41" s="122"/>
      <c r="LU41" s="122"/>
      <c r="LV41" s="122"/>
      <c r="LW41" s="122"/>
      <c r="LX41" s="122"/>
      <c r="LY41" s="122"/>
      <c r="LZ41" s="122"/>
      <c r="MA41" s="122"/>
      <c r="MB41" s="122"/>
      <c r="MC41" s="122"/>
      <c r="MD41" s="122"/>
      <c r="ME41" s="122"/>
      <c r="MF41" s="122"/>
      <c r="MG41" s="122"/>
      <c r="MH41" s="122"/>
      <c r="MI41" s="122"/>
      <c r="MJ41" s="122"/>
      <c r="MK41" s="122"/>
      <c r="ML41" s="122"/>
      <c r="MM41" s="122"/>
      <c r="MN41" s="122"/>
      <c r="MO41" s="122"/>
      <c r="MP41" s="122"/>
      <c r="MQ41" s="122"/>
      <c r="MR41" s="122"/>
      <c r="MS41" s="122"/>
      <c r="MT41" s="122"/>
      <c r="MU41" s="122"/>
      <c r="MV41" s="122"/>
      <c r="MW41" s="122"/>
      <c r="MX41" s="122"/>
      <c r="MY41" s="122"/>
      <c r="MZ41" s="122"/>
      <c r="NA41" s="122"/>
      <c r="NB41" s="122"/>
      <c r="NC41" s="122"/>
      <c r="ND41" s="122"/>
      <c r="NE41" s="122"/>
      <c r="NF41" s="122"/>
      <c r="NG41" s="122"/>
      <c r="NH41" s="122"/>
      <c r="NI41" s="122"/>
      <c r="NJ41" s="122"/>
      <c r="NK41" s="122"/>
      <c r="NL41" s="122"/>
      <c r="NM41" s="122"/>
      <c r="NN41" s="122"/>
      <c r="NO41" s="122"/>
      <c r="NP41" s="122"/>
      <c r="NQ41" s="122"/>
      <c r="NR41" s="122"/>
      <c r="NS41" s="122"/>
      <c r="NT41" s="122"/>
      <c r="NU41" s="122"/>
      <c r="NV41" s="122"/>
      <c r="NW41" s="122"/>
      <c r="NX41" s="122"/>
      <c r="NY41" s="122"/>
      <c r="NZ41" s="122"/>
      <c r="OA41" s="122"/>
      <c r="OB41" s="122"/>
      <c r="OC41" s="122"/>
      <c r="OD41" s="122"/>
      <c r="OE41" s="122"/>
      <c r="OF41" s="122"/>
      <c r="OG41" s="122"/>
      <c r="OH41" s="122"/>
      <c r="OI41" s="122"/>
      <c r="OJ41" s="122"/>
      <c r="OK41" s="122"/>
      <c r="OL41" s="122"/>
      <c r="OM41" s="122"/>
      <c r="ON41" s="122"/>
      <c r="OO41" s="122"/>
      <c r="OP41" s="122"/>
      <c r="OQ41" s="122"/>
      <c r="OR41" s="122"/>
      <c r="OS41" s="122"/>
      <c r="OT41" s="122"/>
      <c r="OU41" s="122"/>
      <c r="OV41" s="122"/>
      <c r="OW41" s="122"/>
      <c r="OX41" s="122"/>
      <c r="OY41" s="122"/>
      <c r="OZ41" s="122"/>
      <c r="PA41" s="122"/>
      <c r="PB41" s="122"/>
      <c r="PC41" s="122"/>
      <c r="PD41" s="122"/>
      <c r="PE41" s="122"/>
      <c r="PF41" s="122"/>
      <c r="PG41" s="122"/>
      <c r="PH41" s="122"/>
      <c r="PI41" s="122"/>
      <c r="PJ41" s="122"/>
      <c r="PK41" s="122"/>
      <c r="PL41" s="122"/>
      <c r="PM41" s="122"/>
      <c r="PN41" s="122"/>
      <c r="PO41" s="122"/>
      <c r="PP41" s="122"/>
      <c r="PQ41" s="122"/>
      <c r="PR41" s="122"/>
      <c r="PS41" s="122"/>
      <c r="PT41" s="122"/>
      <c r="PU41" s="122"/>
      <c r="PV41" s="122"/>
      <c r="PW41" s="122"/>
      <c r="PX41" s="122"/>
      <c r="PY41" s="122"/>
      <c r="PZ41" s="122"/>
      <c r="QA41" s="122"/>
      <c r="QB41" s="122"/>
      <c r="QC41" s="122"/>
      <c r="QD41" s="122"/>
      <c r="QE41" s="122"/>
      <c r="QF41" s="122"/>
      <c r="QG41" s="122"/>
      <c r="QH41" s="122"/>
      <c r="QI41" s="122"/>
      <c r="QJ41" s="122"/>
      <c r="QK41" s="122"/>
      <c r="QL41" s="122"/>
      <c r="QM41" s="122"/>
      <c r="QN41" s="122"/>
      <c r="QO41" s="122"/>
      <c r="QP41" s="122"/>
      <c r="QQ41" s="122"/>
      <c r="QR41" s="122"/>
      <c r="QS41" s="122"/>
      <c r="QT41" s="122"/>
      <c r="QU41" s="122"/>
      <c r="QV41" s="122"/>
      <c r="QW41" s="122"/>
      <c r="QX41" s="122"/>
      <c r="QY41" s="122"/>
      <c r="QZ41" s="122"/>
      <c r="RA41" s="122"/>
      <c r="RB41" s="122"/>
      <c r="RC41" s="122"/>
      <c r="RD41" s="122"/>
      <c r="RE41" s="122"/>
      <c r="RF41" s="122"/>
      <c r="RG41" s="122"/>
      <c r="RH41" s="122"/>
      <c r="RI41" s="122"/>
      <c r="RJ41" s="122"/>
      <c r="RK41" s="122"/>
      <c r="RL41" s="122"/>
      <c r="RM41" s="122"/>
      <c r="RN41" s="122"/>
      <c r="RO41" s="122"/>
      <c r="RP41" s="122"/>
      <c r="RQ41" s="122"/>
      <c r="RR41" s="122"/>
      <c r="RS41" s="122"/>
      <c r="RT41" s="122"/>
      <c r="RU41" s="122"/>
      <c r="RV41" s="122"/>
      <c r="RW41" s="122"/>
      <c r="RX41" s="122"/>
      <c r="RY41" s="122"/>
      <c r="RZ41" s="122"/>
      <c r="SA41" s="122"/>
      <c r="SB41" s="122"/>
      <c r="SC41" s="122"/>
      <c r="SD41" s="122"/>
      <c r="SE41" s="122"/>
      <c r="SF41" s="122"/>
    </row>
    <row r="42" spans="1:500" s="657" customFormat="1" ht="43" customHeight="1" x14ac:dyDescent="0.25">
      <c r="A42" s="593" t="s">
        <v>2593</v>
      </c>
      <c r="B42" s="593" t="s">
        <v>3445</v>
      </c>
      <c r="C42" s="594" t="str">
        <f t="shared" si="7"/>
        <v>CITROEN e-SpaceTourer (Business Lounge) XL 
(Batterie 75kWh)</v>
      </c>
      <c r="D42" s="593" t="s">
        <v>2741</v>
      </c>
      <c r="E42" s="593">
        <v>100</v>
      </c>
      <c r="F42" s="593" t="s">
        <v>2521</v>
      </c>
      <c r="G42" s="642">
        <v>25.9</v>
      </c>
      <c r="H42" s="593"/>
      <c r="I42" s="593">
        <v>0</v>
      </c>
      <c r="J42" s="595"/>
      <c r="K42" s="595"/>
      <c r="L42" s="595">
        <v>71900</v>
      </c>
      <c r="M42" s="596"/>
      <c r="N42" s="643" t="s">
        <v>2875</v>
      </c>
      <c r="O42" s="659"/>
      <c r="P42" s="603"/>
      <c r="Q42" s="603"/>
      <c r="R42" s="603"/>
      <c r="S42" s="603"/>
      <c r="T42" s="603"/>
      <c r="U42" s="603"/>
      <c r="V42" s="603"/>
      <c r="W42" s="603"/>
      <c r="X42" s="603"/>
      <c r="Y42" s="603"/>
      <c r="Z42" s="603"/>
      <c r="AA42" s="603"/>
      <c r="AB42" s="603"/>
      <c r="AC42" s="603"/>
      <c r="AD42" s="603"/>
      <c r="AE42" s="611"/>
      <c r="AF42" s="611"/>
      <c r="AG42" s="609"/>
      <c r="AH42" s="611"/>
      <c r="AI42" s="611"/>
      <c r="AJ42" s="611"/>
      <c r="AK42" s="611"/>
      <c r="AL42" s="611"/>
      <c r="AM42" s="119"/>
      <c r="AN42" s="119"/>
      <c r="AO42" s="119"/>
      <c r="AP42" s="120"/>
      <c r="AQ42" s="120"/>
      <c r="AR42" s="120"/>
      <c r="AS42" s="120"/>
      <c r="AT42" s="120"/>
      <c r="AU42" s="120"/>
      <c r="AV42" s="120"/>
      <c r="AW42" s="120"/>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122"/>
      <c r="ES42" s="122"/>
      <c r="ET42" s="122"/>
      <c r="EU42" s="122"/>
      <c r="EV42" s="122"/>
      <c r="EW42" s="122"/>
      <c r="EX42" s="122"/>
      <c r="EY42" s="122"/>
      <c r="EZ42" s="122"/>
      <c r="FA42" s="122"/>
      <c r="FB42" s="122"/>
      <c r="FC42" s="122"/>
      <c r="FD42" s="122"/>
      <c r="FE42" s="122"/>
      <c r="FF42" s="122"/>
      <c r="FG42" s="122"/>
      <c r="FH42" s="122"/>
      <c r="FI42" s="122"/>
      <c r="FJ42" s="122"/>
      <c r="FK42" s="122"/>
      <c r="FL42" s="122"/>
      <c r="FM42" s="122"/>
      <c r="FN42" s="122"/>
      <c r="FO42" s="122"/>
      <c r="FP42" s="122"/>
      <c r="FQ42" s="122"/>
      <c r="FR42" s="122"/>
      <c r="FS42" s="122"/>
      <c r="FT42" s="122"/>
      <c r="FU42" s="122"/>
      <c r="FV42" s="122"/>
      <c r="FW42" s="122"/>
      <c r="FX42" s="122"/>
      <c r="FY42" s="122"/>
      <c r="FZ42" s="122"/>
      <c r="GA42" s="122"/>
      <c r="GB42" s="122"/>
      <c r="GC42" s="122"/>
      <c r="GD42" s="122"/>
      <c r="GE42" s="122"/>
      <c r="GF42" s="122"/>
      <c r="GG42" s="122"/>
      <c r="GH42" s="122"/>
      <c r="GI42" s="122"/>
      <c r="GJ42" s="122"/>
      <c r="GK42" s="122"/>
      <c r="GL42" s="122"/>
      <c r="GM42" s="122"/>
      <c r="GN42" s="122"/>
      <c r="GO42" s="122"/>
      <c r="GP42" s="122"/>
      <c r="GQ42" s="122"/>
      <c r="GR42" s="122"/>
      <c r="GS42" s="122"/>
      <c r="GT42" s="122"/>
      <c r="GU42" s="122"/>
      <c r="GV42" s="122"/>
      <c r="GW42" s="122"/>
      <c r="GX42" s="122"/>
      <c r="GY42" s="122"/>
      <c r="GZ42" s="122"/>
      <c r="HA42" s="122"/>
      <c r="HB42" s="122"/>
      <c r="HC42" s="122"/>
      <c r="HD42" s="122"/>
      <c r="HE42" s="122"/>
      <c r="HF42" s="122"/>
      <c r="HG42" s="122"/>
      <c r="HH42" s="122"/>
      <c r="HI42" s="122"/>
      <c r="HJ42" s="122"/>
      <c r="HK42" s="122"/>
      <c r="HL42" s="122"/>
      <c r="HM42" s="122"/>
      <c r="HN42" s="122"/>
      <c r="HO42" s="122"/>
      <c r="HP42" s="122"/>
      <c r="HQ42" s="122"/>
      <c r="HR42" s="122"/>
      <c r="HS42" s="122"/>
      <c r="HT42" s="122"/>
      <c r="HU42" s="122"/>
      <c r="HV42" s="122"/>
      <c r="HW42" s="122"/>
      <c r="HX42" s="122"/>
      <c r="HY42" s="122"/>
      <c r="HZ42" s="122"/>
      <c r="IA42" s="122"/>
      <c r="IB42" s="122"/>
      <c r="IC42" s="122"/>
      <c r="ID42" s="122"/>
      <c r="IE42" s="122"/>
      <c r="IF42" s="122"/>
      <c r="IG42" s="122"/>
      <c r="IH42" s="122"/>
      <c r="II42" s="122"/>
      <c r="IJ42" s="122"/>
      <c r="IK42" s="122"/>
      <c r="IL42" s="122"/>
      <c r="IM42" s="122"/>
      <c r="IN42" s="122"/>
      <c r="IO42" s="122"/>
      <c r="IP42" s="122"/>
      <c r="IQ42" s="122"/>
      <c r="IR42" s="122"/>
      <c r="IS42" s="122"/>
      <c r="IT42" s="122"/>
      <c r="IU42" s="122"/>
      <c r="IV42" s="122"/>
      <c r="IW42" s="122"/>
      <c r="IX42" s="122"/>
      <c r="IY42" s="122"/>
      <c r="IZ42" s="122"/>
      <c r="JA42" s="122"/>
      <c r="JB42" s="122"/>
      <c r="JC42" s="122"/>
      <c r="JD42" s="122"/>
      <c r="JE42" s="122"/>
      <c r="JF42" s="122"/>
      <c r="JG42" s="122"/>
      <c r="JH42" s="122"/>
      <c r="JI42" s="122"/>
      <c r="JJ42" s="122"/>
      <c r="JK42" s="122"/>
      <c r="JL42" s="122"/>
      <c r="JM42" s="122"/>
      <c r="JN42" s="122"/>
      <c r="JO42" s="122"/>
      <c r="JP42" s="122"/>
      <c r="JQ42" s="122"/>
      <c r="JR42" s="122"/>
      <c r="JS42" s="122"/>
      <c r="JT42" s="122"/>
      <c r="JU42" s="122"/>
      <c r="JV42" s="122"/>
      <c r="JW42" s="122"/>
      <c r="JX42" s="122"/>
      <c r="JY42" s="122"/>
      <c r="JZ42" s="122"/>
      <c r="KA42" s="122"/>
      <c r="KB42" s="122"/>
      <c r="KC42" s="122"/>
      <c r="KD42" s="122"/>
      <c r="KE42" s="122"/>
      <c r="KF42" s="122"/>
      <c r="KG42" s="122"/>
      <c r="KH42" s="122"/>
      <c r="KI42" s="122"/>
      <c r="KJ42" s="122"/>
      <c r="KK42" s="122"/>
      <c r="KL42" s="122"/>
      <c r="KM42" s="122"/>
      <c r="KN42" s="122"/>
      <c r="KO42" s="122"/>
      <c r="KP42" s="122"/>
      <c r="KQ42" s="122"/>
      <c r="KR42" s="122"/>
      <c r="KS42" s="122"/>
      <c r="KT42" s="122"/>
      <c r="KU42" s="122"/>
      <c r="KV42" s="122"/>
      <c r="KW42" s="122"/>
      <c r="KX42" s="122"/>
      <c r="KY42" s="122"/>
      <c r="KZ42" s="122"/>
      <c r="LA42" s="122"/>
      <c r="LB42" s="122"/>
      <c r="LC42" s="122"/>
      <c r="LD42" s="122"/>
      <c r="LE42" s="122"/>
      <c r="LF42" s="122"/>
      <c r="LG42" s="122"/>
      <c r="LH42" s="122"/>
      <c r="LI42" s="122"/>
      <c r="LJ42" s="122"/>
      <c r="LK42" s="122"/>
      <c r="LL42" s="122"/>
      <c r="LM42" s="122"/>
      <c r="LN42" s="122"/>
      <c r="LO42" s="122"/>
      <c r="LP42" s="122"/>
      <c r="LQ42" s="122"/>
      <c r="LR42" s="122"/>
      <c r="LS42" s="122"/>
      <c r="LT42" s="122"/>
      <c r="LU42" s="122"/>
      <c r="LV42" s="122"/>
      <c r="LW42" s="122"/>
      <c r="LX42" s="122"/>
      <c r="LY42" s="122"/>
      <c r="LZ42" s="122"/>
      <c r="MA42" s="122"/>
      <c r="MB42" s="122"/>
      <c r="MC42" s="122"/>
      <c r="MD42" s="122"/>
      <c r="ME42" s="122"/>
      <c r="MF42" s="122"/>
      <c r="MG42" s="122"/>
      <c r="MH42" s="122"/>
      <c r="MI42" s="122"/>
      <c r="MJ42" s="122"/>
      <c r="MK42" s="122"/>
      <c r="ML42" s="122"/>
      <c r="MM42" s="122"/>
      <c r="MN42" s="122"/>
      <c r="MO42" s="122"/>
      <c r="MP42" s="122"/>
      <c r="MQ42" s="122"/>
      <c r="MR42" s="122"/>
      <c r="MS42" s="122"/>
      <c r="MT42" s="122"/>
      <c r="MU42" s="122"/>
      <c r="MV42" s="122"/>
      <c r="MW42" s="122"/>
      <c r="MX42" s="122"/>
      <c r="MY42" s="122"/>
      <c r="MZ42" s="122"/>
      <c r="NA42" s="122"/>
      <c r="NB42" s="122"/>
      <c r="NC42" s="122"/>
      <c r="ND42" s="122"/>
      <c r="NE42" s="122"/>
      <c r="NF42" s="122"/>
      <c r="NG42" s="122"/>
      <c r="NH42" s="122"/>
      <c r="NI42" s="122"/>
      <c r="NJ42" s="122"/>
      <c r="NK42" s="122"/>
      <c r="NL42" s="122"/>
      <c r="NM42" s="122"/>
      <c r="NN42" s="122"/>
      <c r="NO42" s="122"/>
      <c r="NP42" s="122"/>
      <c r="NQ42" s="122"/>
      <c r="NR42" s="122"/>
      <c r="NS42" s="122"/>
      <c r="NT42" s="122"/>
      <c r="NU42" s="122"/>
      <c r="NV42" s="122"/>
      <c r="NW42" s="122"/>
      <c r="NX42" s="122"/>
      <c r="NY42" s="122"/>
      <c r="NZ42" s="122"/>
      <c r="OA42" s="122"/>
      <c r="OB42" s="122"/>
      <c r="OC42" s="122"/>
      <c r="OD42" s="122"/>
      <c r="OE42" s="122"/>
      <c r="OF42" s="122"/>
      <c r="OG42" s="122"/>
      <c r="OH42" s="122"/>
      <c r="OI42" s="122"/>
      <c r="OJ42" s="122"/>
      <c r="OK42" s="122"/>
      <c r="OL42" s="122"/>
      <c r="OM42" s="122"/>
      <c r="ON42" s="122"/>
      <c r="OO42" s="122"/>
      <c r="OP42" s="122"/>
      <c r="OQ42" s="122"/>
      <c r="OR42" s="122"/>
      <c r="OS42" s="122"/>
      <c r="OT42" s="122"/>
      <c r="OU42" s="122"/>
      <c r="OV42" s="122"/>
      <c r="OW42" s="122"/>
      <c r="OX42" s="122"/>
      <c r="OY42" s="122"/>
      <c r="OZ42" s="122"/>
      <c r="PA42" s="122"/>
      <c r="PB42" s="122"/>
      <c r="PC42" s="122"/>
      <c r="PD42" s="122"/>
      <c r="PE42" s="122"/>
      <c r="PF42" s="122"/>
      <c r="PG42" s="122"/>
      <c r="PH42" s="122"/>
      <c r="PI42" s="122"/>
      <c r="PJ42" s="122"/>
      <c r="PK42" s="122"/>
      <c r="PL42" s="122"/>
      <c r="PM42" s="122"/>
      <c r="PN42" s="122"/>
      <c r="PO42" s="122"/>
      <c r="PP42" s="122"/>
      <c r="PQ42" s="122"/>
      <c r="PR42" s="122"/>
      <c r="PS42" s="122"/>
      <c r="PT42" s="122"/>
      <c r="PU42" s="122"/>
      <c r="PV42" s="122"/>
      <c r="PW42" s="122"/>
      <c r="PX42" s="122"/>
      <c r="PY42" s="122"/>
      <c r="PZ42" s="122"/>
      <c r="QA42" s="122"/>
      <c r="QB42" s="122"/>
      <c r="QC42" s="122"/>
      <c r="QD42" s="122"/>
      <c r="QE42" s="122"/>
      <c r="QF42" s="122"/>
      <c r="QG42" s="122"/>
      <c r="QH42" s="122"/>
      <c r="QI42" s="122"/>
      <c r="QJ42" s="122"/>
      <c r="QK42" s="122"/>
      <c r="QL42" s="122"/>
      <c r="QM42" s="122"/>
      <c r="QN42" s="122"/>
      <c r="QO42" s="122"/>
      <c r="QP42" s="122"/>
      <c r="QQ42" s="122"/>
      <c r="QR42" s="122"/>
      <c r="QS42" s="122"/>
      <c r="QT42" s="122"/>
      <c r="QU42" s="122"/>
      <c r="QV42" s="122"/>
      <c r="QW42" s="122"/>
      <c r="QX42" s="122"/>
      <c r="QY42" s="122"/>
      <c r="QZ42" s="122"/>
      <c r="RA42" s="122"/>
      <c r="RB42" s="122"/>
      <c r="RC42" s="122"/>
      <c r="RD42" s="122"/>
      <c r="RE42" s="122"/>
      <c r="RF42" s="122"/>
      <c r="RG42" s="122"/>
      <c r="RH42" s="122"/>
      <c r="RI42" s="122"/>
      <c r="RJ42" s="122"/>
      <c r="RK42" s="122"/>
      <c r="RL42" s="122"/>
      <c r="RM42" s="122"/>
      <c r="RN42" s="122"/>
      <c r="RO42" s="122"/>
      <c r="RP42" s="122"/>
      <c r="RQ42" s="122"/>
      <c r="RR42" s="122"/>
      <c r="RS42" s="122"/>
      <c r="RT42" s="122"/>
      <c r="RU42" s="122"/>
      <c r="RV42" s="122"/>
      <c r="RW42" s="122"/>
      <c r="RX42" s="122"/>
      <c r="RY42" s="122"/>
      <c r="RZ42" s="122"/>
      <c r="SA42" s="122"/>
      <c r="SB42" s="122"/>
      <c r="SC42" s="122"/>
      <c r="SD42" s="122"/>
      <c r="SE42" s="122"/>
      <c r="SF42" s="122"/>
    </row>
    <row r="43" spans="1:500" ht="30.25" customHeight="1" x14ac:dyDescent="0.25">
      <c r="A43" s="593" t="s">
        <v>3305</v>
      </c>
      <c r="B43" s="593" t="s">
        <v>3333</v>
      </c>
      <c r="C43" s="594" t="str">
        <f>CONCATENATE(A43," ",B43)</f>
        <v>DS AUTOMOBILES DS 3 CROSSBACK &amp; E-TENSE (SO CHIC)</v>
      </c>
      <c r="D43" s="593" t="s">
        <v>2741</v>
      </c>
      <c r="E43" s="593">
        <v>100</v>
      </c>
      <c r="F43" s="593" t="s">
        <v>2521</v>
      </c>
      <c r="G43" s="642">
        <v>17.8</v>
      </c>
      <c r="H43" s="593"/>
      <c r="I43" s="593">
        <v>0</v>
      </c>
      <c r="J43" s="595"/>
      <c r="K43" s="595"/>
      <c r="L43" s="595">
        <v>39190</v>
      </c>
      <c r="M43" s="596"/>
      <c r="N43" s="643" t="s">
        <v>2875</v>
      </c>
      <c r="O43" s="576"/>
      <c r="P43" s="603"/>
      <c r="Q43" s="603"/>
      <c r="R43" s="603"/>
      <c r="S43" s="603"/>
      <c r="T43" s="603"/>
      <c r="U43" s="603"/>
      <c r="V43" s="603"/>
      <c r="W43" s="603"/>
      <c r="X43" s="603"/>
      <c r="Y43" s="603"/>
      <c r="Z43" s="603"/>
      <c r="AA43" s="603"/>
      <c r="AB43" s="603"/>
      <c r="AC43" s="603"/>
      <c r="AD43" s="603"/>
      <c r="AE43" s="664"/>
      <c r="AF43" s="611"/>
      <c r="AG43" s="609"/>
      <c r="AH43" s="611"/>
      <c r="AI43" s="611"/>
      <c r="AJ43" s="611"/>
      <c r="AK43" s="611"/>
      <c r="AL43" s="611"/>
      <c r="AM43" s="119"/>
      <c r="AN43" s="119"/>
      <c r="AO43" s="119"/>
      <c r="AQ43" s="119"/>
      <c r="AR43" s="119"/>
      <c r="AS43" s="119"/>
      <c r="AT43" s="119"/>
      <c r="AU43" s="119"/>
      <c r="AV43" s="120"/>
      <c r="AW43" s="120"/>
    </row>
    <row r="44" spans="1:500" ht="30.25" customHeight="1" x14ac:dyDescent="0.25">
      <c r="A44" s="593" t="s">
        <v>3305</v>
      </c>
      <c r="B44" s="593" t="s">
        <v>3334</v>
      </c>
      <c r="C44" s="594" t="str">
        <f>CONCATENATE(A44," ",B44)</f>
        <v>DS AUTOMOBILES DS 3 CROSSBACK &amp; E-TENSE (PERFORMANCE LINE)</v>
      </c>
      <c r="D44" s="593" t="s">
        <v>2741</v>
      </c>
      <c r="E44" s="593">
        <v>100</v>
      </c>
      <c r="F44" s="593" t="s">
        <v>2521</v>
      </c>
      <c r="G44" s="642">
        <v>17.8</v>
      </c>
      <c r="H44" s="593"/>
      <c r="I44" s="593">
        <v>0</v>
      </c>
      <c r="J44" s="595"/>
      <c r="K44" s="595"/>
      <c r="L44" s="595">
        <v>39740</v>
      </c>
      <c r="M44" s="596"/>
      <c r="N44" s="643" t="s">
        <v>2875</v>
      </c>
      <c r="O44" s="576"/>
      <c r="P44" s="603"/>
      <c r="Q44" s="603"/>
      <c r="R44" s="603"/>
      <c r="S44" s="603"/>
      <c r="T44" s="603"/>
      <c r="U44" s="603"/>
      <c r="V44" s="603"/>
      <c r="W44" s="603"/>
      <c r="X44" s="603"/>
      <c r="Y44" s="603"/>
      <c r="Z44" s="603"/>
      <c r="AA44" s="603"/>
      <c r="AB44" s="603"/>
      <c r="AC44" s="603"/>
      <c r="AD44" s="603"/>
      <c r="AE44" s="664"/>
      <c r="AF44" s="611"/>
      <c r="AG44" s="609"/>
      <c r="AH44" s="611"/>
      <c r="AI44" s="611"/>
      <c r="AJ44" s="611"/>
      <c r="AK44" s="611"/>
      <c r="AL44" s="611"/>
      <c r="AM44" s="119"/>
      <c r="AN44" s="119"/>
      <c r="AO44" s="119"/>
      <c r="AP44" s="208"/>
      <c r="AQ44" s="119"/>
      <c r="AR44" s="119"/>
      <c r="AS44" s="119"/>
      <c r="AT44" s="119"/>
      <c r="AU44" s="119"/>
      <c r="AV44" s="120"/>
      <c r="AW44" s="120"/>
    </row>
    <row r="45" spans="1:500" s="657" customFormat="1" ht="43" customHeight="1" x14ac:dyDescent="0.25">
      <c r="A45" s="593" t="s">
        <v>3446</v>
      </c>
      <c r="B45" s="593" t="s">
        <v>3447</v>
      </c>
      <c r="C45" s="594" t="str">
        <f t="shared" si="7"/>
        <v>FIAT 500 electric HATCHBACK (Action)</v>
      </c>
      <c r="D45" s="593" t="s">
        <v>2741</v>
      </c>
      <c r="E45" s="593">
        <v>70</v>
      </c>
      <c r="F45" s="593" t="s">
        <v>2521</v>
      </c>
      <c r="G45" s="642">
        <v>13</v>
      </c>
      <c r="H45" s="593"/>
      <c r="I45" s="593">
        <v>0</v>
      </c>
      <c r="J45" s="595"/>
      <c r="K45" s="595"/>
      <c r="L45" s="595">
        <v>24990</v>
      </c>
      <c r="M45" s="596"/>
      <c r="N45" s="643" t="s">
        <v>2875</v>
      </c>
      <c r="O45" s="659"/>
      <c r="P45" s="603"/>
      <c r="Q45" s="603"/>
      <c r="R45" s="603"/>
      <c r="S45" s="603"/>
      <c r="T45" s="603"/>
      <c r="U45" s="603"/>
      <c r="V45" s="603"/>
      <c r="W45" s="603"/>
      <c r="X45" s="603"/>
      <c r="Y45" s="603"/>
      <c r="Z45" s="603"/>
      <c r="AA45" s="603"/>
      <c r="AB45" s="603"/>
      <c r="AC45" s="603"/>
      <c r="AD45" s="603"/>
      <c r="AE45" s="611"/>
      <c r="AF45" s="611"/>
      <c r="AG45" s="609"/>
      <c r="AH45" s="611"/>
      <c r="AI45" s="611"/>
      <c r="AJ45" s="611"/>
      <c r="AK45" s="611"/>
      <c r="AL45" s="611"/>
      <c r="AM45" s="119"/>
      <c r="AN45" s="119"/>
      <c r="AO45" s="119"/>
      <c r="AP45" s="120"/>
      <c r="AQ45" s="120"/>
      <c r="AR45" s="120"/>
      <c r="AS45" s="120"/>
      <c r="AT45" s="120"/>
      <c r="AU45" s="120"/>
      <c r="AV45" s="120"/>
      <c r="AW45" s="120"/>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2"/>
      <c r="EI45" s="122"/>
      <c r="EJ45" s="122"/>
      <c r="EK45" s="122"/>
      <c r="EL45" s="122"/>
      <c r="EM45" s="122"/>
      <c r="EN45" s="122"/>
      <c r="EO45" s="122"/>
      <c r="EP45" s="122"/>
      <c r="EQ45" s="122"/>
      <c r="ER45" s="122"/>
      <c r="ES45" s="122"/>
      <c r="ET45" s="122"/>
      <c r="EU45" s="122"/>
      <c r="EV45" s="122"/>
      <c r="EW45" s="122"/>
      <c r="EX45" s="122"/>
      <c r="EY45" s="122"/>
      <c r="EZ45" s="122"/>
      <c r="FA45" s="122"/>
      <c r="FB45" s="122"/>
      <c r="FC45" s="122"/>
      <c r="FD45" s="122"/>
      <c r="FE45" s="122"/>
      <c r="FF45" s="122"/>
      <c r="FG45" s="122"/>
      <c r="FH45" s="122"/>
      <c r="FI45" s="122"/>
      <c r="FJ45" s="122"/>
      <c r="FK45" s="122"/>
      <c r="FL45" s="122"/>
      <c r="FM45" s="122"/>
      <c r="FN45" s="122"/>
      <c r="FO45" s="122"/>
      <c r="FP45" s="122"/>
      <c r="FQ45" s="122"/>
      <c r="FR45" s="122"/>
      <c r="FS45" s="122"/>
      <c r="FT45" s="122"/>
      <c r="FU45" s="122"/>
      <c r="FV45" s="122"/>
      <c r="FW45" s="122"/>
      <c r="FX45" s="122"/>
      <c r="FY45" s="122"/>
      <c r="FZ45" s="122"/>
      <c r="GA45" s="122"/>
      <c r="GB45" s="122"/>
      <c r="GC45" s="122"/>
      <c r="GD45" s="122"/>
      <c r="GE45" s="122"/>
      <c r="GF45" s="122"/>
      <c r="GG45" s="122"/>
      <c r="GH45" s="122"/>
      <c r="GI45" s="122"/>
      <c r="GJ45" s="122"/>
      <c r="GK45" s="122"/>
      <c r="GL45" s="122"/>
      <c r="GM45" s="122"/>
      <c r="GN45" s="122"/>
      <c r="GO45" s="122"/>
      <c r="GP45" s="122"/>
      <c r="GQ45" s="122"/>
      <c r="GR45" s="122"/>
      <c r="GS45" s="122"/>
      <c r="GT45" s="122"/>
      <c r="GU45" s="122"/>
      <c r="GV45" s="122"/>
      <c r="GW45" s="122"/>
      <c r="GX45" s="122"/>
      <c r="GY45" s="122"/>
      <c r="GZ45" s="122"/>
      <c r="HA45" s="122"/>
      <c r="HB45" s="122"/>
      <c r="HC45" s="122"/>
      <c r="HD45" s="122"/>
      <c r="HE45" s="122"/>
      <c r="HF45" s="122"/>
      <c r="HG45" s="122"/>
      <c r="HH45" s="122"/>
      <c r="HI45" s="122"/>
      <c r="HJ45" s="122"/>
      <c r="HK45" s="122"/>
      <c r="HL45" s="122"/>
      <c r="HM45" s="122"/>
      <c r="HN45" s="122"/>
      <c r="HO45" s="122"/>
      <c r="HP45" s="122"/>
      <c r="HQ45" s="122"/>
      <c r="HR45" s="122"/>
      <c r="HS45" s="122"/>
      <c r="HT45" s="122"/>
      <c r="HU45" s="122"/>
      <c r="HV45" s="122"/>
      <c r="HW45" s="122"/>
      <c r="HX45" s="122"/>
      <c r="HY45" s="122"/>
      <c r="HZ45" s="122"/>
      <c r="IA45" s="122"/>
      <c r="IB45" s="122"/>
      <c r="IC45" s="122"/>
      <c r="ID45" s="122"/>
      <c r="IE45" s="122"/>
      <c r="IF45" s="122"/>
      <c r="IG45" s="122"/>
      <c r="IH45" s="122"/>
      <c r="II45" s="122"/>
      <c r="IJ45" s="122"/>
      <c r="IK45" s="122"/>
      <c r="IL45" s="122"/>
      <c r="IM45" s="122"/>
      <c r="IN45" s="122"/>
      <c r="IO45" s="122"/>
      <c r="IP45" s="122"/>
      <c r="IQ45" s="122"/>
      <c r="IR45" s="122"/>
      <c r="IS45" s="122"/>
      <c r="IT45" s="122"/>
      <c r="IU45" s="122"/>
      <c r="IV45" s="122"/>
      <c r="IW45" s="122"/>
      <c r="IX45" s="122"/>
      <c r="IY45" s="122"/>
      <c r="IZ45" s="122"/>
      <c r="JA45" s="122"/>
      <c r="JB45" s="122"/>
      <c r="JC45" s="122"/>
      <c r="JD45" s="122"/>
      <c r="JE45" s="122"/>
      <c r="JF45" s="122"/>
      <c r="JG45" s="122"/>
      <c r="JH45" s="122"/>
      <c r="JI45" s="122"/>
      <c r="JJ45" s="122"/>
      <c r="JK45" s="122"/>
      <c r="JL45" s="122"/>
      <c r="JM45" s="122"/>
      <c r="JN45" s="122"/>
      <c r="JO45" s="122"/>
      <c r="JP45" s="122"/>
      <c r="JQ45" s="122"/>
      <c r="JR45" s="122"/>
      <c r="JS45" s="122"/>
      <c r="JT45" s="122"/>
      <c r="JU45" s="122"/>
      <c r="JV45" s="122"/>
      <c r="JW45" s="122"/>
      <c r="JX45" s="122"/>
      <c r="JY45" s="122"/>
      <c r="JZ45" s="122"/>
      <c r="KA45" s="122"/>
      <c r="KB45" s="122"/>
      <c r="KC45" s="122"/>
      <c r="KD45" s="122"/>
      <c r="KE45" s="122"/>
      <c r="KF45" s="122"/>
      <c r="KG45" s="122"/>
      <c r="KH45" s="122"/>
      <c r="KI45" s="122"/>
      <c r="KJ45" s="122"/>
      <c r="KK45" s="122"/>
      <c r="KL45" s="122"/>
      <c r="KM45" s="122"/>
      <c r="KN45" s="122"/>
      <c r="KO45" s="122"/>
      <c r="KP45" s="122"/>
      <c r="KQ45" s="122"/>
      <c r="KR45" s="122"/>
      <c r="KS45" s="122"/>
      <c r="KT45" s="122"/>
      <c r="KU45" s="122"/>
      <c r="KV45" s="122"/>
      <c r="KW45" s="122"/>
      <c r="KX45" s="122"/>
      <c r="KY45" s="122"/>
      <c r="KZ45" s="122"/>
      <c r="LA45" s="122"/>
      <c r="LB45" s="122"/>
      <c r="LC45" s="122"/>
      <c r="LD45" s="122"/>
      <c r="LE45" s="122"/>
      <c r="LF45" s="122"/>
      <c r="LG45" s="122"/>
      <c r="LH45" s="122"/>
      <c r="LI45" s="122"/>
      <c r="LJ45" s="122"/>
      <c r="LK45" s="122"/>
      <c r="LL45" s="122"/>
      <c r="LM45" s="122"/>
      <c r="LN45" s="122"/>
      <c r="LO45" s="122"/>
      <c r="LP45" s="122"/>
      <c r="LQ45" s="122"/>
      <c r="LR45" s="122"/>
      <c r="LS45" s="122"/>
      <c r="LT45" s="122"/>
      <c r="LU45" s="122"/>
      <c r="LV45" s="122"/>
      <c r="LW45" s="122"/>
      <c r="LX45" s="122"/>
      <c r="LY45" s="122"/>
      <c r="LZ45" s="122"/>
      <c r="MA45" s="122"/>
      <c r="MB45" s="122"/>
      <c r="MC45" s="122"/>
      <c r="MD45" s="122"/>
      <c r="ME45" s="122"/>
      <c r="MF45" s="122"/>
      <c r="MG45" s="122"/>
      <c r="MH45" s="122"/>
      <c r="MI45" s="122"/>
      <c r="MJ45" s="122"/>
      <c r="MK45" s="122"/>
      <c r="ML45" s="122"/>
      <c r="MM45" s="122"/>
      <c r="MN45" s="122"/>
      <c r="MO45" s="122"/>
      <c r="MP45" s="122"/>
      <c r="MQ45" s="122"/>
      <c r="MR45" s="122"/>
      <c r="MS45" s="122"/>
      <c r="MT45" s="122"/>
      <c r="MU45" s="122"/>
      <c r="MV45" s="122"/>
      <c r="MW45" s="122"/>
      <c r="MX45" s="122"/>
      <c r="MY45" s="122"/>
      <c r="MZ45" s="122"/>
      <c r="NA45" s="122"/>
      <c r="NB45" s="122"/>
      <c r="NC45" s="122"/>
      <c r="ND45" s="122"/>
      <c r="NE45" s="122"/>
      <c r="NF45" s="122"/>
      <c r="NG45" s="122"/>
      <c r="NH45" s="122"/>
      <c r="NI45" s="122"/>
      <c r="NJ45" s="122"/>
      <c r="NK45" s="122"/>
      <c r="NL45" s="122"/>
      <c r="NM45" s="122"/>
      <c r="NN45" s="122"/>
      <c r="NO45" s="122"/>
      <c r="NP45" s="122"/>
      <c r="NQ45" s="122"/>
      <c r="NR45" s="122"/>
      <c r="NS45" s="122"/>
      <c r="NT45" s="122"/>
      <c r="NU45" s="122"/>
      <c r="NV45" s="122"/>
      <c r="NW45" s="122"/>
      <c r="NX45" s="122"/>
      <c r="NY45" s="122"/>
      <c r="NZ45" s="122"/>
      <c r="OA45" s="122"/>
      <c r="OB45" s="122"/>
      <c r="OC45" s="122"/>
      <c r="OD45" s="122"/>
      <c r="OE45" s="122"/>
      <c r="OF45" s="122"/>
      <c r="OG45" s="122"/>
      <c r="OH45" s="122"/>
      <c r="OI45" s="122"/>
      <c r="OJ45" s="122"/>
      <c r="OK45" s="122"/>
      <c r="OL45" s="122"/>
      <c r="OM45" s="122"/>
      <c r="ON45" s="122"/>
      <c r="OO45" s="122"/>
      <c r="OP45" s="122"/>
      <c r="OQ45" s="122"/>
      <c r="OR45" s="122"/>
      <c r="OS45" s="122"/>
      <c r="OT45" s="122"/>
      <c r="OU45" s="122"/>
      <c r="OV45" s="122"/>
      <c r="OW45" s="122"/>
      <c r="OX45" s="122"/>
      <c r="OY45" s="122"/>
      <c r="OZ45" s="122"/>
      <c r="PA45" s="122"/>
      <c r="PB45" s="122"/>
      <c r="PC45" s="122"/>
      <c r="PD45" s="122"/>
      <c r="PE45" s="122"/>
      <c r="PF45" s="122"/>
      <c r="PG45" s="122"/>
      <c r="PH45" s="122"/>
      <c r="PI45" s="122"/>
      <c r="PJ45" s="122"/>
      <c r="PK45" s="122"/>
      <c r="PL45" s="122"/>
      <c r="PM45" s="122"/>
      <c r="PN45" s="122"/>
      <c r="PO45" s="122"/>
      <c r="PP45" s="122"/>
      <c r="PQ45" s="122"/>
      <c r="PR45" s="122"/>
      <c r="PS45" s="122"/>
      <c r="PT45" s="122"/>
      <c r="PU45" s="122"/>
      <c r="PV45" s="122"/>
      <c r="PW45" s="122"/>
      <c r="PX45" s="122"/>
      <c r="PY45" s="122"/>
      <c r="PZ45" s="122"/>
      <c r="QA45" s="122"/>
      <c r="QB45" s="122"/>
      <c r="QC45" s="122"/>
      <c r="QD45" s="122"/>
      <c r="QE45" s="122"/>
      <c r="QF45" s="122"/>
      <c r="QG45" s="122"/>
      <c r="QH45" s="122"/>
      <c r="QI45" s="122"/>
      <c r="QJ45" s="122"/>
      <c r="QK45" s="122"/>
      <c r="QL45" s="122"/>
      <c r="QM45" s="122"/>
      <c r="QN45" s="122"/>
      <c r="QO45" s="122"/>
      <c r="QP45" s="122"/>
      <c r="QQ45" s="122"/>
      <c r="QR45" s="122"/>
      <c r="QS45" s="122"/>
      <c r="QT45" s="122"/>
      <c r="QU45" s="122"/>
      <c r="QV45" s="122"/>
      <c r="QW45" s="122"/>
      <c r="QX45" s="122"/>
      <c r="QY45" s="122"/>
      <c r="QZ45" s="122"/>
      <c r="RA45" s="122"/>
      <c r="RB45" s="122"/>
      <c r="RC45" s="122"/>
      <c r="RD45" s="122"/>
      <c r="RE45" s="122"/>
      <c r="RF45" s="122"/>
      <c r="RG45" s="122"/>
      <c r="RH45" s="122"/>
      <c r="RI45" s="122"/>
      <c r="RJ45" s="122"/>
      <c r="RK45" s="122"/>
      <c r="RL45" s="122"/>
      <c r="RM45" s="122"/>
      <c r="RN45" s="122"/>
      <c r="RO45" s="122"/>
      <c r="RP45" s="122"/>
      <c r="RQ45" s="122"/>
      <c r="RR45" s="122"/>
      <c r="RS45" s="122"/>
      <c r="RT45" s="122"/>
      <c r="RU45" s="122"/>
      <c r="RV45" s="122"/>
      <c r="RW45" s="122"/>
      <c r="RX45" s="122"/>
      <c r="RY45" s="122"/>
      <c r="RZ45" s="122"/>
      <c r="SA45" s="122"/>
      <c r="SB45" s="122"/>
      <c r="SC45" s="122"/>
      <c r="SD45" s="122"/>
      <c r="SE45" s="122"/>
      <c r="SF45" s="122"/>
    </row>
    <row r="46" spans="1:500" s="657" customFormat="1" ht="43" customHeight="1" x14ac:dyDescent="0.25">
      <c r="A46" s="593" t="s">
        <v>3446</v>
      </c>
      <c r="B46" s="593" t="s">
        <v>3448</v>
      </c>
      <c r="C46" s="594" t="str">
        <f t="shared" ref="C46" si="8">CONCATENATE(A46," ",B46)</f>
        <v>FIAT 500 electric HATCHBACK (Passion)</v>
      </c>
      <c r="D46" s="593" t="s">
        <v>2741</v>
      </c>
      <c r="E46" s="593">
        <v>87</v>
      </c>
      <c r="F46" s="593" t="s">
        <v>2521</v>
      </c>
      <c r="G46" s="642">
        <v>14.5</v>
      </c>
      <c r="H46" s="593"/>
      <c r="I46" s="593">
        <v>0</v>
      </c>
      <c r="J46" s="595"/>
      <c r="K46" s="595"/>
      <c r="L46" s="595">
        <v>28390</v>
      </c>
      <c r="M46" s="596"/>
      <c r="N46" s="643" t="s">
        <v>2875</v>
      </c>
      <c r="O46" s="659"/>
      <c r="P46" s="603"/>
      <c r="Q46" s="603"/>
      <c r="R46" s="603"/>
      <c r="S46" s="603"/>
      <c r="T46" s="603"/>
      <c r="U46" s="603"/>
      <c r="V46" s="603"/>
      <c r="W46" s="603"/>
      <c r="X46" s="603"/>
      <c r="Y46" s="603"/>
      <c r="Z46" s="603"/>
      <c r="AA46" s="603"/>
      <c r="AB46" s="603"/>
      <c r="AC46" s="603"/>
      <c r="AD46" s="603"/>
      <c r="AE46" s="611"/>
      <c r="AF46" s="611"/>
      <c r="AG46" s="609"/>
      <c r="AH46" s="611"/>
      <c r="AI46" s="611"/>
      <c r="AJ46" s="611"/>
      <c r="AK46" s="611"/>
      <c r="AL46" s="611"/>
      <c r="AM46" s="119"/>
      <c r="AN46" s="119"/>
      <c r="AO46" s="119"/>
      <c r="AP46" s="120"/>
      <c r="AQ46" s="120"/>
      <c r="AR46" s="120"/>
      <c r="AS46" s="120"/>
      <c r="AT46" s="120"/>
      <c r="AU46" s="120"/>
      <c r="AV46" s="120"/>
      <c r="AW46" s="120"/>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2"/>
      <c r="EI46" s="122"/>
      <c r="EJ46" s="122"/>
      <c r="EK46" s="122"/>
      <c r="EL46" s="122"/>
      <c r="EM46" s="122"/>
      <c r="EN46" s="122"/>
      <c r="EO46" s="122"/>
      <c r="EP46" s="122"/>
      <c r="EQ46" s="122"/>
      <c r="ER46" s="122"/>
      <c r="ES46" s="122"/>
      <c r="ET46" s="122"/>
      <c r="EU46" s="122"/>
      <c r="EV46" s="122"/>
      <c r="EW46" s="122"/>
      <c r="EX46" s="122"/>
      <c r="EY46" s="122"/>
      <c r="EZ46" s="122"/>
      <c r="FA46" s="122"/>
      <c r="FB46" s="122"/>
      <c r="FC46" s="122"/>
      <c r="FD46" s="122"/>
      <c r="FE46" s="122"/>
      <c r="FF46" s="122"/>
      <c r="FG46" s="122"/>
      <c r="FH46" s="122"/>
      <c r="FI46" s="122"/>
      <c r="FJ46" s="122"/>
      <c r="FK46" s="122"/>
      <c r="FL46" s="122"/>
      <c r="FM46" s="122"/>
      <c r="FN46" s="122"/>
      <c r="FO46" s="122"/>
      <c r="FP46" s="122"/>
      <c r="FQ46" s="122"/>
      <c r="FR46" s="122"/>
      <c r="FS46" s="122"/>
      <c r="FT46" s="122"/>
      <c r="FU46" s="122"/>
      <c r="FV46" s="122"/>
      <c r="FW46" s="122"/>
      <c r="FX46" s="122"/>
      <c r="FY46" s="122"/>
      <c r="FZ46" s="122"/>
      <c r="GA46" s="122"/>
      <c r="GB46" s="122"/>
      <c r="GC46" s="122"/>
      <c r="GD46" s="122"/>
      <c r="GE46" s="122"/>
      <c r="GF46" s="122"/>
      <c r="GG46" s="122"/>
      <c r="GH46" s="122"/>
      <c r="GI46" s="122"/>
      <c r="GJ46" s="122"/>
      <c r="GK46" s="122"/>
      <c r="GL46" s="122"/>
      <c r="GM46" s="122"/>
      <c r="GN46" s="122"/>
      <c r="GO46" s="122"/>
      <c r="GP46" s="122"/>
      <c r="GQ46" s="122"/>
      <c r="GR46" s="122"/>
      <c r="GS46" s="122"/>
      <c r="GT46" s="122"/>
      <c r="GU46" s="122"/>
      <c r="GV46" s="122"/>
      <c r="GW46" s="122"/>
      <c r="GX46" s="122"/>
      <c r="GY46" s="122"/>
      <c r="GZ46" s="122"/>
      <c r="HA46" s="122"/>
      <c r="HB46" s="122"/>
      <c r="HC46" s="122"/>
      <c r="HD46" s="122"/>
      <c r="HE46" s="122"/>
      <c r="HF46" s="122"/>
      <c r="HG46" s="122"/>
      <c r="HH46" s="122"/>
      <c r="HI46" s="122"/>
      <c r="HJ46" s="122"/>
      <c r="HK46" s="122"/>
      <c r="HL46" s="122"/>
      <c r="HM46" s="122"/>
      <c r="HN46" s="122"/>
      <c r="HO46" s="122"/>
      <c r="HP46" s="122"/>
      <c r="HQ46" s="122"/>
      <c r="HR46" s="122"/>
      <c r="HS46" s="122"/>
      <c r="HT46" s="122"/>
      <c r="HU46" s="122"/>
      <c r="HV46" s="122"/>
      <c r="HW46" s="122"/>
      <c r="HX46" s="122"/>
      <c r="HY46" s="122"/>
      <c r="HZ46" s="122"/>
      <c r="IA46" s="122"/>
      <c r="IB46" s="122"/>
      <c r="IC46" s="122"/>
      <c r="ID46" s="122"/>
      <c r="IE46" s="122"/>
      <c r="IF46" s="122"/>
      <c r="IG46" s="122"/>
      <c r="IH46" s="122"/>
      <c r="II46" s="122"/>
      <c r="IJ46" s="122"/>
      <c r="IK46" s="122"/>
      <c r="IL46" s="122"/>
      <c r="IM46" s="122"/>
      <c r="IN46" s="122"/>
      <c r="IO46" s="122"/>
      <c r="IP46" s="122"/>
      <c r="IQ46" s="122"/>
      <c r="IR46" s="122"/>
      <c r="IS46" s="122"/>
      <c r="IT46" s="122"/>
      <c r="IU46" s="122"/>
      <c r="IV46" s="122"/>
      <c r="IW46" s="122"/>
      <c r="IX46" s="122"/>
      <c r="IY46" s="122"/>
      <c r="IZ46" s="122"/>
      <c r="JA46" s="122"/>
      <c r="JB46" s="122"/>
      <c r="JC46" s="122"/>
      <c r="JD46" s="122"/>
      <c r="JE46" s="122"/>
      <c r="JF46" s="122"/>
      <c r="JG46" s="122"/>
      <c r="JH46" s="122"/>
      <c r="JI46" s="122"/>
      <c r="JJ46" s="122"/>
      <c r="JK46" s="122"/>
      <c r="JL46" s="122"/>
      <c r="JM46" s="122"/>
      <c r="JN46" s="122"/>
      <c r="JO46" s="122"/>
      <c r="JP46" s="122"/>
      <c r="JQ46" s="122"/>
      <c r="JR46" s="122"/>
      <c r="JS46" s="122"/>
      <c r="JT46" s="122"/>
      <c r="JU46" s="122"/>
      <c r="JV46" s="122"/>
      <c r="JW46" s="122"/>
      <c r="JX46" s="122"/>
      <c r="JY46" s="122"/>
      <c r="JZ46" s="122"/>
      <c r="KA46" s="122"/>
      <c r="KB46" s="122"/>
      <c r="KC46" s="122"/>
      <c r="KD46" s="122"/>
      <c r="KE46" s="122"/>
      <c r="KF46" s="122"/>
      <c r="KG46" s="122"/>
      <c r="KH46" s="122"/>
      <c r="KI46" s="122"/>
      <c r="KJ46" s="122"/>
      <c r="KK46" s="122"/>
      <c r="KL46" s="122"/>
      <c r="KM46" s="122"/>
      <c r="KN46" s="122"/>
      <c r="KO46" s="122"/>
      <c r="KP46" s="122"/>
      <c r="KQ46" s="122"/>
      <c r="KR46" s="122"/>
      <c r="KS46" s="122"/>
      <c r="KT46" s="122"/>
      <c r="KU46" s="122"/>
      <c r="KV46" s="122"/>
      <c r="KW46" s="122"/>
      <c r="KX46" s="122"/>
      <c r="KY46" s="122"/>
      <c r="KZ46" s="122"/>
      <c r="LA46" s="122"/>
      <c r="LB46" s="122"/>
      <c r="LC46" s="122"/>
      <c r="LD46" s="122"/>
      <c r="LE46" s="122"/>
      <c r="LF46" s="122"/>
      <c r="LG46" s="122"/>
      <c r="LH46" s="122"/>
      <c r="LI46" s="122"/>
      <c r="LJ46" s="122"/>
      <c r="LK46" s="122"/>
      <c r="LL46" s="122"/>
      <c r="LM46" s="122"/>
      <c r="LN46" s="122"/>
      <c r="LO46" s="122"/>
      <c r="LP46" s="122"/>
      <c r="LQ46" s="122"/>
      <c r="LR46" s="122"/>
      <c r="LS46" s="122"/>
      <c r="LT46" s="122"/>
      <c r="LU46" s="122"/>
      <c r="LV46" s="122"/>
      <c r="LW46" s="122"/>
      <c r="LX46" s="122"/>
      <c r="LY46" s="122"/>
      <c r="LZ46" s="122"/>
      <c r="MA46" s="122"/>
      <c r="MB46" s="122"/>
      <c r="MC46" s="122"/>
      <c r="MD46" s="122"/>
      <c r="ME46" s="122"/>
      <c r="MF46" s="122"/>
      <c r="MG46" s="122"/>
      <c r="MH46" s="122"/>
      <c r="MI46" s="122"/>
      <c r="MJ46" s="122"/>
      <c r="MK46" s="122"/>
      <c r="ML46" s="122"/>
      <c r="MM46" s="122"/>
      <c r="MN46" s="122"/>
      <c r="MO46" s="122"/>
      <c r="MP46" s="122"/>
      <c r="MQ46" s="122"/>
      <c r="MR46" s="122"/>
      <c r="MS46" s="122"/>
      <c r="MT46" s="122"/>
      <c r="MU46" s="122"/>
      <c r="MV46" s="122"/>
      <c r="MW46" s="122"/>
      <c r="MX46" s="122"/>
      <c r="MY46" s="122"/>
      <c r="MZ46" s="122"/>
      <c r="NA46" s="122"/>
      <c r="NB46" s="122"/>
      <c r="NC46" s="122"/>
      <c r="ND46" s="122"/>
      <c r="NE46" s="122"/>
      <c r="NF46" s="122"/>
      <c r="NG46" s="122"/>
      <c r="NH46" s="122"/>
      <c r="NI46" s="122"/>
      <c r="NJ46" s="122"/>
      <c r="NK46" s="122"/>
      <c r="NL46" s="122"/>
      <c r="NM46" s="122"/>
      <c r="NN46" s="122"/>
      <c r="NO46" s="122"/>
      <c r="NP46" s="122"/>
      <c r="NQ46" s="122"/>
      <c r="NR46" s="122"/>
      <c r="NS46" s="122"/>
      <c r="NT46" s="122"/>
      <c r="NU46" s="122"/>
      <c r="NV46" s="122"/>
      <c r="NW46" s="122"/>
      <c r="NX46" s="122"/>
      <c r="NY46" s="122"/>
      <c r="NZ46" s="122"/>
      <c r="OA46" s="122"/>
      <c r="OB46" s="122"/>
      <c r="OC46" s="122"/>
      <c r="OD46" s="122"/>
      <c r="OE46" s="122"/>
      <c r="OF46" s="122"/>
      <c r="OG46" s="122"/>
      <c r="OH46" s="122"/>
      <c r="OI46" s="122"/>
      <c r="OJ46" s="122"/>
      <c r="OK46" s="122"/>
      <c r="OL46" s="122"/>
      <c r="OM46" s="122"/>
      <c r="ON46" s="122"/>
      <c r="OO46" s="122"/>
      <c r="OP46" s="122"/>
      <c r="OQ46" s="122"/>
      <c r="OR46" s="122"/>
      <c r="OS46" s="122"/>
      <c r="OT46" s="122"/>
      <c r="OU46" s="122"/>
      <c r="OV46" s="122"/>
      <c r="OW46" s="122"/>
      <c r="OX46" s="122"/>
      <c r="OY46" s="122"/>
      <c r="OZ46" s="122"/>
      <c r="PA46" s="122"/>
      <c r="PB46" s="122"/>
      <c r="PC46" s="122"/>
      <c r="PD46" s="122"/>
      <c r="PE46" s="122"/>
      <c r="PF46" s="122"/>
      <c r="PG46" s="122"/>
      <c r="PH46" s="122"/>
      <c r="PI46" s="122"/>
      <c r="PJ46" s="122"/>
      <c r="PK46" s="122"/>
      <c r="PL46" s="122"/>
      <c r="PM46" s="122"/>
      <c r="PN46" s="122"/>
      <c r="PO46" s="122"/>
      <c r="PP46" s="122"/>
      <c r="PQ46" s="122"/>
      <c r="PR46" s="122"/>
      <c r="PS46" s="122"/>
      <c r="PT46" s="122"/>
      <c r="PU46" s="122"/>
      <c r="PV46" s="122"/>
      <c r="PW46" s="122"/>
      <c r="PX46" s="122"/>
      <c r="PY46" s="122"/>
      <c r="PZ46" s="122"/>
      <c r="QA46" s="122"/>
      <c r="QB46" s="122"/>
      <c r="QC46" s="122"/>
      <c r="QD46" s="122"/>
      <c r="QE46" s="122"/>
      <c r="QF46" s="122"/>
      <c r="QG46" s="122"/>
      <c r="QH46" s="122"/>
      <c r="QI46" s="122"/>
      <c r="QJ46" s="122"/>
      <c r="QK46" s="122"/>
      <c r="QL46" s="122"/>
      <c r="QM46" s="122"/>
      <c r="QN46" s="122"/>
      <c r="QO46" s="122"/>
      <c r="QP46" s="122"/>
      <c r="QQ46" s="122"/>
      <c r="QR46" s="122"/>
      <c r="QS46" s="122"/>
      <c r="QT46" s="122"/>
      <c r="QU46" s="122"/>
      <c r="QV46" s="122"/>
      <c r="QW46" s="122"/>
      <c r="QX46" s="122"/>
      <c r="QY46" s="122"/>
      <c r="QZ46" s="122"/>
      <c r="RA46" s="122"/>
      <c r="RB46" s="122"/>
      <c r="RC46" s="122"/>
      <c r="RD46" s="122"/>
      <c r="RE46" s="122"/>
      <c r="RF46" s="122"/>
      <c r="RG46" s="122"/>
      <c r="RH46" s="122"/>
      <c r="RI46" s="122"/>
      <c r="RJ46" s="122"/>
      <c r="RK46" s="122"/>
      <c r="RL46" s="122"/>
      <c r="RM46" s="122"/>
      <c r="RN46" s="122"/>
      <c r="RO46" s="122"/>
      <c r="RP46" s="122"/>
      <c r="RQ46" s="122"/>
      <c r="RR46" s="122"/>
      <c r="RS46" s="122"/>
      <c r="RT46" s="122"/>
      <c r="RU46" s="122"/>
      <c r="RV46" s="122"/>
      <c r="RW46" s="122"/>
      <c r="RX46" s="122"/>
      <c r="RY46" s="122"/>
      <c r="RZ46" s="122"/>
      <c r="SA46" s="122"/>
      <c r="SB46" s="122"/>
      <c r="SC46" s="122"/>
      <c r="SD46" s="122"/>
      <c r="SE46" s="122"/>
      <c r="SF46" s="122"/>
    </row>
    <row r="47" spans="1:500" s="657" customFormat="1" ht="43" customHeight="1" x14ac:dyDescent="0.25">
      <c r="A47" s="593" t="s">
        <v>3446</v>
      </c>
      <c r="B47" s="593" t="s">
        <v>3449</v>
      </c>
      <c r="C47" s="594" t="str">
        <f t="shared" ref="C47" si="9">CONCATENATE(A47," ",B47)</f>
        <v>FIAT 500 electric HATCHBACK (Icon)</v>
      </c>
      <c r="D47" s="593" t="s">
        <v>2741</v>
      </c>
      <c r="E47" s="593">
        <v>87</v>
      </c>
      <c r="F47" s="593" t="s">
        <v>2521</v>
      </c>
      <c r="G47" s="642">
        <v>14.5</v>
      </c>
      <c r="H47" s="593"/>
      <c r="I47" s="593">
        <v>0</v>
      </c>
      <c r="J47" s="595"/>
      <c r="K47" s="595"/>
      <c r="L47" s="595">
        <v>29990</v>
      </c>
      <c r="M47" s="596"/>
      <c r="N47" s="643" t="s">
        <v>2875</v>
      </c>
      <c r="O47" s="659"/>
      <c r="P47" s="603"/>
      <c r="Q47" s="603"/>
      <c r="R47" s="603"/>
      <c r="S47" s="603"/>
      <c r="T47" s="603"/>
      <c r="U47" s="603"/>
      <c r="V47" s="603"/>
      <c r="W47" s="603"/>
      <c r="X47" s="603"/>
      <c r="Y47" s="603"/>
      <c r="Z47" s="603"/>
      <c r="AA47" s="603"/>
      <c r="AB47" s="603"/>
      <c r="AC47" s="603"/>
      <c r="AD47" s="603"/>
      <c r="AE47" s="611"/>
      <c r="AF47" s="611"/>
      <c r="AG47" s="609"/>
      <c r="AH47" s="611"/>
      <c r="AI47" s="611"/>
      <c r="AJ47" s="611"/>
      <c r="AK47" s="611"/>
      <c r="AL47" s="611"/>
      <c r="AM47" s="119"/>
      <c r="AN47" s="119"/>
      <c r="AO47" s="119"/>
      <c r="AP47" s="120"/>
      <c r="AQ47" s="120"/>
      <c r="AR47" s="120"/>
      <c r="AS47" s="120"/>
      <c r="AT47" s="120"/>
      <c r="AU47" s="120"/>
      <c r="AV47" s="120"/>
      <c r="AW47" s="120"/>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2"/>
      <c r="EI47" s="122"/>
      <c r="EJ47" s="122"/>
      <c r="EK47" s="122"/>
      <c r="EL47" s="122"/>
      <c r="EM47" s="122"/>
      <c r="EN47" s="122"/>
      <c r="EO47" s="122"/>
      <c r="EP47" s="122"/>
      <c r="EQ47" s="122"/>
      <c r="ER47" s="122"/>
      <c r="ES47" s="122"/>
      <c r="ET47" s="122"/>
      <c r="EU47" s="122"/>
      <c r="EV47" s="122"/>
      <c r="EW47" s="122"/>
      <c r="EX47" s="122"/>
      <c r="EY47" s="122"/>
      <c r="EZ47" s="122"/>
      <c r="FA47" s="122"/>
      <c r="FB47" s="122"/>
      <c r="FC47" s="122"/>
      <c r="FD47" s="122"/>
      <c r="FE47" s="122"/>
      <c r="FF47" s="122"/>
      <c r="FG47" s="122"/>
      <c r="FH47" s="122"/>
      <c r="FI47" s="122"/>
      <c r="FJ47" s="122"/>
      <c r="FK47" s="122"/>
      <c r="FL47" s="122"/>
      <c r="FM47" s="122"/>
      <c r="FN47" s="122"/>
      <c r="FO47" s="122"/>
      <c r="FP47" s="122"/>
      <c r="FQ47" s="122"/>
      <c r="FR47" s="122"/>
      <c r="FS47" s="122"/>
      <c r="FT47" s="122"/>
      <c r="FU47" s="122"/>
      <c r="FV47" s="122"/>
      <c r="FW47" s="122"/>
      <c r="FX47" s="122"/>
      <c r="FY47" s="122"/>
      <c r="FZ47" s="122"/>
      <c r="GA47" s="122"/>
      <c r="GB47" s="122"/>
      <c r="GC47" s="122"/>
      <c r="GD47" s="122"/>
      <c r="GE47" s="122"/>
      <c r="GF47" s="122"/>
      <c r="GG47" s="122"/>
      <c r="GH47" s="122"/>
      <c r="GI47" s="122"/>
      <c r="GJ47" s="122"/>
      <c r="GK47" s="122"/>
      <c r="GL47" s="122"/>
      <c r="GM47" s="122"/>
      <c r="GN47" s="122"/>
      <c r="GO47" s="122"/>
      <c r="GP47" s="122"/>
      <c r="GQ47" s="122"/>
      <c r="GR47" s="122"/>
      <c r="GS47" s="122"/>
      <c r="GT47" s="122"/>
      <c r="GU47" s="122"/>
      <c r="GV47" s="122"/>
      <c r="GW47" s="122"/>
      <c r="GX47" s="122"/>
      <c r="GY47" s="122"/>
      <c r="GZ47" s="122"/>
      <c r="HA47" s="122"/>
      <c r="HB47" s="122"/>
      <c r="HC47" s="122"/>
      <c r="HD47" s="122"/>
      <c r="HE47" s="122"/>
      <c r="HF47" s="122"/>
      <c r="HG47" s="122"/>
      <c r="HH47" s="122"/>
      <c r="HI47" s="122"/>
      <c r="HJ47" s="122"/>
      <c r="HK47" s="122"/>
      <c r="HL47" s="122"/>
      <c r="HM47" s="122"/>
      <c r="HN47" s="122"/>
      <c r="HO47" s="122"/>
      <c r="HP47" s="122"/>
      <c r="HQ47" s="122"/>
      <c r="HR47" s="122"/>
      <c r="HS47" s="122"/>
      <c r="HT47" s="122"/>
      <c r="HU47" s="122"/>
      <c r="HV47" s="122"/>
      <c r="HW47" s="122"/>
      <c r="HX47" s="122"/>
      <c r="HY47" s="122"/>
      <c r="HZ47" s="122"/>
      <c r="IA47" s="122"/>
      <c r="IB47" s="122"/>
      <c r="IC47" s="122"/>
      <c r="ID47" s="122"/>
      <c r="IE47" s="122"/>
      <c r="IF47" s="122"/>
      <c r="IG47" s="122"/>
      <c r="IH47" s="122"/>
      <c r="II47" s="122"/>
      <c r="IJ47" s="122"/>
      <c r="IK47" s="122"/>
      <c r="IL47" s="122"/>
      <c r="IM47" s="122"/>
      <c r="IN47" s="122"/>
      <c r="IO47" s="122"/>
      <c r="IP47" s="122"/>
      <c r="IQ47" s="122"/>
      <c r="IR47" s="122"/>
      <c r="IS47" s="122"/>
      <c r="IT47" s="122"/>
      <c r="IU47" s="122"/>
      <c r="IV47" s="122"/>
      <c r="IW47" s="122"/>
      <c r="IX47" s="122"/>
      <c r="IY47" s="122"/>
      <c r="IZ47" s="122"/>
      <c r="JA47" s="122"/>
      <c r="JB47" s="122"/>
      <c r="JC47" s="122"/>
      <c r="JD47" s="122"/>
      <c r="JE47" s="122"/>
      <c r="JF47" s="122"/>
      <c r="JG47" s="122"/>
      <c r="JH47" s="122"/>
      <c r="JI47" s="122"/>
      <c r="JJ47" s="122"/>
      <c r="JK47" s="122"/>
      <c r="JL47" s="122"/>
      <c r="JM47" s="122"/>
      <c r="JN47" s="122"/>
      <c r="JO47" s="122"/>
      <c r="JP47" s="122"/>
      <c r="JQ47" s="122"/>
      <c r="JR47" s="122"/>
      <c r="JS47" s="122"/>
      <c r="JT47" s="122"/>
      <c r="JU47" s="122"/>
      <c r="JV47" s="122"/>
      <c r="JW47" s="122"/>
      <c r="JX47" s="122"/>
      <c r="JY47" s="122"/>
      <c r="JZ47" s="122"/>
      <c r="KA47" s="122"/>
      <c r="KB47" s="122"/>
      <c r="KC47" s="122"/>
      <c r="KD47" s="122"/>
      <c r="KE47" s="122"/>
      <c r="KF47" s="122"/>
      <c r="KG47" s="122"/>
      <c r="KH47" s="122"/>
      <c r="KI47" s="122"/>
      <c r="KJ47" s="122"/>
      <c r="KK47" s="122"/>
      <c r="KL47" s="122"/>
      <c r="KM47" s="122"/>
      <c r="KN47" s="122"/>
      <c r="KO47" s="122"/>
      <c r="KP47" s="122"/>
      <c r="KQ47" s="122"/>
      <c r="KR47" s="122"/>
      <c r="KS47" s="122"/>
      <c r="KT47" s="122"/>
      <c r="KU47" s="122"/>
      <c r="KV47" s="122"/>
      <c r="KW47" s="122"/>
      <c r="KX47" s="122"/>
      <c r="KY47" s="122"/>
      <c r="KZ47" s="122"/>
      <c r="LA47" s="122"/>
      <c r="LB47" s="122"/>
      <c r="LC47" s="122"/>
      <c r="LD47" s="122"/>
      <c r="LE47" s="122"/>
      <c r="LF47" s="122"/>
      <c r="LG47" s="122"/>
      <c r="LH47" s="122"/>
      <c r="LI47" s="122"/>
      <c r="LJ47" s="122"/>
      <c r="LK47" s="122"/>
      <c r="LL47" s="122"/>
      <c r="LM47" s="122"/>
      <c r="LN47" s="122"/>
      <c r="LO47" s="122"/>
      <c r="LP47" s="122"/>
      <c r="LQ47" s="122"/>
      <c r="LR47" s="122"/>
      <c r="LS47" s="122"/>
      <c r="LT47" s="122"/>
      <c r="LU47" s="122"/>
      <c r="LV47" s="122"/>
      <c r="LW47" s="122"/>
      <c r="LX47" s="122"/>
      <c r="LY47" s="122"/>
      <c r="LZ47" s="122"/>
      <c r="MA47" s="122"/>
      <c r="MB47" s="122"/>
      <c r="MC47" s="122"/>
      <c r="MD47" s="122"/>
      <c r="ME47" s="122"/>
      <c r="MF47" s="122"/>
      <c r="MG47" s="122"/>
      <c r="MH47" s="122"/>
      <c r="MI47" s="122"/>
      <c r="MJ47" s="122"/>
      <c r="MK47" s="122"/>
      <c r="ML47" s="122"/>
      <c r="MM47" s="122"/>
      <c r="MN47" s="122"/>
      <c r="MO47" s="122"/>
      <c r="MP47" s="122"/>
      <c r="MQ47" s="122"/>
      <c r="MR47" s="122"/>
      <c r="MS47" s="122"/>
      <c r="MT47" s="122"/>
      <c r="MU47" s="122"/>
      <c r="MV47" s="122"/>
      <c r="MW47" s="122"/>
      <c r="MX47" s="122"/>
      <c r="MY47" s="122"/>
      <c r="MZ47" s="122"/>
      <c r="NA47" s="122"/>
      <c r="NB47" s="122"/>
      <c r="NC47" s="122"/>
      <c r="ND47" s="122"/>
      <c r="NE47" s="122"/>
      <c r="NF47" s="122"/>
      <c r="NG47" s="122"/>
      <c r="NH47" s="122"/>
      <c r="NI47" s="122"/>
      <c r="NJ47" s="122"/>
      <c r="NK47" s="122"/>
      <c r="NL47" s="122"/>
      <c r="NM47" s="122"/>
      <c r="NN47" s="122"/>
      <c r="NO47" s="122"/>
      <c r="NP47" s="122"/>
      <c r="NQ47" s="122"/>
      <c r="NR47" s="122"/>
      <c r="NS47" s="122"/>
      <c r="NT47" s="122"/>
      <c r="NU47" s="122"/>
      <c r="NV47" s="122"/>
      <c r="NW47" s="122"/>
      <c r="NX47" s="122"/>
      <c r="NY47" s="122"/>
      <c r="NZ47" s="122"/>
      <c r="OA47" s="122"/>
      <c r="OB47" s="122"/>
      <c r="OC47" s="122"/>
      <c r="OD47" s="122"/>
      <c r="OE47" s="122"/>
      <c r="OF47" s="122"/>
      <c r="OG47" s="122"/>
      <c r="OH47" s="122"/>
      <c r="OI47" s="122"/>
      <c r="OJ47" s="122"/>
      <c r="OK47" s="122"/>
      <c r="OL47" s="122"/>
      <c r="OM47" s="122"/>
      <c r="ON47" s="122"/>
      <c r="OO47" s="122"/>
      <c r="OP47" s="122"/>
      <c r="OQ47" s="122"/>
      <c r="OR47" s="122"/>
      <c r="OS47" s="122"/>
      <c r="OT47" s="122"/>
      <c r="OU47" s="122"/>
      <c r="OV47" s="122"/>
      <c r="OW47" s="122"/>
      <c r="OX47" s="122"/>
      <c r="OY47" s="122"/>
      <c r="OZ47" s="122"/>
      <c r="PA47" s="122"/>
      <c r="PB47" s="122"/>
      <c r="PC47" s="122"/>
      <c r="PD47" s="122"/>
      <c r="PE47" s="122"/>
      <c r="PF47" s="122"/>
      <c r="PG47" s="122"/>
      <c r="PH47" s="122"/>
      <c r="PI47" s="122"/>
      <c r="PJ47" s="122"/>
      <c r="PK47" s="122"/>
      <c r="PL47" s="122"/>
      <c r="PM47" s="122"/>
      <c r="PN47" s="122"/>
      <c r="PO47" s="122"/>
      <c r="PP47" s="122"/>
      <c r="PQ47" s="122"/>
      <c r="PR47" s="122"/>
      <c r="PS47" s="122"/>
      <c r="PT47" s="122"/>
      <c r="PU47" s="122"/>
      <c r="PV47" s="122"/>
      <c r="PW47" s="122"/>
      <c r="PX47" s="122"/>
      <c r="PY47" s="122"/>
      <c r="PZ47" s="122"/>
      <c r="QA47" s="122"/>
      <c r="QB47" s="122"/>
      <c r="QC47" s="122"/>
      <c r="QD47" s="122"/>
      <c r="QE47" s="122"/>
      <c r="QF47" s="122"/>
      <c r="QG47" s="122"/>
      <c r="QH47" s="122"/>
      <c r="QI47" s="122"/>
      <c r="QJ47" s="122"/>
      <c r="QK47" s="122"/>
      <c r="QL47" s="122"/>
      <c r="QM47" s="122"/>
      <c r="QN47" s="122"/>
      <c r="QO47" s="122"/>
      <c r="QP47" s="122"/>
      <c r="QQ47" s="122"/>
      <c r="QR47" s="122"/>
      <c r="QS47" s="122"/>
      <c r="QT47" s="122"/>
      <c r="QU47" s="122"/>
      <c r="QV47" s="122"/>
      <c r="QW47" s="122"/>
      <c r="QX47" s="122"/>
      <c r="QY47" s="122"/>
      <c r="QZ47" s="122"/>
      <c r="RA47" s="122"/>
      <c r="RB47" s="122"/>
      <c r="RC47" s="122"/>
      <c r="RD47" s="122"/>
      <c r="RE47" s="122"/>
      <c r="RF47" s="122"/>
      <c r="RG47" s="122"/>
      <c r="RH47" s="122"/>
      <c r="RI47" s="122"/>
      <c r="RJ47" s="122"/>
      <c r="RK47" s="122"/>
      <c r="RL47" s="122"/>
      <c r="RM47" s="122"/>
      <c r="RN47" s="122"/>
      <c r="RO47" s="122"/>
      <c r="RP47" s="122"/>
      <c r="RQ47" s="122"/>
      <c r="RR47" s="122"/>
      <c r="RS47" s="122"/>
      <c r="RT47" s="122"/>
      <c r="RU47" s="122"/>
      <c r="RV47" s="122"/>
      <c r="RW47" s="122"/>
      <c r="RX47" s="122"/>
      <c r="RY47" s="122"/>
      <c r="RZ47" s="122"/>
      <c r="SA47" s="122"/>
      <c r="SB47" s="122"/>
      <c r="SC47" s="122"/>
      <c r="SD47" s="122"/>
      <c r="SE47" s="122"/>
      <c r="SF47" s="122"/>
    </row>
    <row r="48" spans="1:500" s="657" customFormat="1" ht="43" customHeight="1" x14ac:dyDescent="0.25">
      <c r="A48" s="593" t="s">
        <v>3446</v>
      </c>
      <c r="B48" s="593" t="s">
        <v>3450</v>
      </c>
      <c r="C48" s="594" t="str">
        <f t="shared" ref="C48:C50" si="10">CONCATENATE(A48," ",B48)</f>
        <v>FIAT 500 electric HATCHBACK (La Prima)</v>
      </c>
      <c r="D48" s="593" t="s">
        <v>2741</v>
      </c>
      <c r="E48" s="593">
        <v>87</v>
      </c>
      <c r="F48" s="593" t="s">
        <v>2521</v>
      </c>
      <c r="G48" s="642">
        <v>14.5</v>
      </c>
      <c r="H48" s="593"/>
      <c r="I48" s="593">
        <v>0</v>
      </c>
      <c r="J48" s="595"/>
      <c r="K48" s="595"/>
      <c r="L48" s="595">
        <v>35490</v>
      </c>
      <c r="M48" s="596"/>
      <c r="N48" s="643" t="s">
        <v>2875</v>
      </c>
      <c r="O48" s="659"/>
      <c r="P48" s="603"/>
      <c r="Q48" s="603"/>
      <c r="R48" s="603"/>
      <c r="S48" s="603"/>
      <c r="T48" s="603"/>
      <c r="U48" s="603"/>
      <c r="V48" s="603"/>
      <c r="W48" s="603"/>
      <c r="X48" s="603"/>
      <c r="Y48" s="603"/>
      <c r="Z48" s="603"/>
      <c r="AA48" s="603"/>
      <c r="AB48" s="603"/>
      <c r="AC48" s="603"/>
      <c r="AD48" s="603"/>
      <c r="AE48" s="611"/>
      <c r="AF48" s="611"/>
      <c r="AG48" s="609"/>
      <c r="AH48" s="611"/>
      <c r="AI48" s="611"/>
      <c r="AJ48" s="611"/>
      <c r="AK48" s="611"/>
      <c r="AL48" s="611"/>
      <c r="AM48" s="119"/>
      <c r="AN48" s="119"/>
      <c r="AO48" s="119"/>
      <c r="AP48" s="120"/>
      <c r="AQ48" s="120"/>
      <c r="AR48" s="120"/>
      <c r="AS48" s="120"/>
      <c r="AT48" s="120"/>
      <c r="AU48" s="120"/>
      <c r="AV48" s="120"/>
      <c r="AW48" s="120"/>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2"/>
      <c r="EI48" s="122"/>
      <c r="EJ48" s="122"/>
      <c r="EK48" s="122"/>
      <c r="EL48" s="122"/>
      <c r="EM48" s="122"/>
      <c r="EN48" s="122"/>
      <c r="EO48" s="122"/>
      <c r="EP48" s="122"/>
      <c r="EQ48" s="122"/>
      <c r="ER48" s="122"/>
      <c r="ES48" s="122"/>
      <c r="ET48" s="122"/>
      <c r="EU48" s="122"/>
      <c r="EV48" s="122"/>
      <c r="EW48" s="122"/>
      <c r="EX48" s="122"/>
      <c r="EY48" s="122"/>
      <c r="EZ48" s="122"/>
      <c r="FA48" s="122"/>
      <c r="FB48" s="122"/>
      <c r="FC48" s="122"/>
      <c r="FD48" s="122"/>
      <c r="FE48" s="122"/>
      <c r="FF48" s="122"/>
      <c r="FG48" s="122"/>
      <c r="FH48" s="122"/>
      <c r="FI48" s="122"/>
      <c r="FJ48" s="122"/>
      <c r="FK48" s="122"/>
      <c r="FL48" s="122"/>
      <c r="FM48" s="122"/>
      <c r="FN48" s="122"/>
      <c r="FO48" s="122"/>
      <c r="FP48" s="122"/>
      <c r="FQ48" s="122"/>
      <c r="FR48" s="122"/>
      <c r="FS48" s="122"/>
      <c r="FT48" s="122"/>
      <c r="FU48" s="122"/>
      <c r="FV48" s="122"/>
      <c r="FW48" s="122"/>
      <c r="FX48" s="122"/>
      <c r="FY48" s="122"/>
      <c r="FZ48" s="122"/>
      <c r="GA48" s="122"/>
      <c r="GB48" s="122"/>
      <c r="GC48" s="122"/>
      <c r="GD48" s="122"/>
      <c r="GE48" s="122"/>
      <c r="GF48" s="122"/>
      <c r="GG48" s="122"/>
      <c r="GH48" s="122"/>
      <c r="GI48" s="122"/>
      <c r="GJ48" s="122"/>
      <c r="GK48" s="122"/>
      <c r="GL48" s="122"/>
      <c r="GM48" s="122"/>
      <c r="GN48" s="122"/>
      <c r="GO48" s="122"/>
      <c r="GP48" s="122"/>
      <c r="GQ48" s="122"/>
      <c r="GR48" s="122"/>
      <c r="GS48" s="122"/>
      <c r="GT48" s="122"/>
      <c r="GU48" s="122"/>
      <c r="GV48" s="122"/>
      <c r="GW48" s="122"/>
      <c r="GX48" s="122"/>
      <c r="GY48" s="122"/>
      <c r="GZ48" s="122"/>
      <c r="HA48" s="122"/>
      <c r="HB48" s="122"/>
      <c r="HC48" s="122"/>
      <c r="HD48" s="122"/>
      <c r="HE48" s="122"/>
      <c r="HF48" s="122"/>
      <c r="HG48" s="122"/>
      <c r="HH48" s="122"/>
      <c r="HI48" s="122"/>
      <c r="HJ48" s="122"/>
      <c r="HK48" s="122"/>
      <c r="HL48" s="122"/>
      <c r="HM48" s="122"/>
      <c r="HN48" s="122"/>
      <c r="HO48" s="122"/>
      <c r="HP48" s="122"/>
      <c r="HQ48" s="122"/>
      <c r="HR48" s="122"/>
      <c r="HS48" s="122"/>
      <c r="HT48" s="122"/>
      <c r="HU48" s="122"/>
      <c r="HV48" s="122"/>
      <c r="HW48" s="122"/>
      <c r="HX48" s="122"/>
      <c r="HY48" s="122"/>
      <c r="HZ48" s="122"/>
      <c r="IA48" s="122"/>
      <c r="IB48" s="122"/>
      <c r="IC48" s="122"/>
      <c r="ID48" s="122"/>
      <c r="IE48" s="122"/>
      <c r="IF48" s="122"/>
      <c r="IG48" s="122"/>
      <c r="IH48" s="122"/>
      <c r="II48" s="122"/>
      <c r="IJ48" s="122"/>
      <c r="IK48" s="122"/>
      <c r="IL48" s="122"/>
      <c r="IM48" s="122"/>
      <c r="IN48" s="122"/>
      <c r="IO48" s="122"/>
      <c r="IP48" s="122"/>
      <c r="IQ48" s="122"/>
      <c r="IR48" s="122"/>
      <c r="IS48" s="122"/>
      <c r="IT48" s="122"/>
      <c r="IU48" s="122"/>
      <c r="IV48" s="122"/>
      <c r="IW48" s="122"/>
      <c r="IX48" s="122"/>
      <c r="IY48" s="122"/>
      <c r="IZ48" s="122"/>
      <c r="JA48" s="122"/>
      <c r="JB48" s="122"/>
      <c r="JC48" s="122"/>
      <c r="JD48" s="122"/>
      <c r="JE48" s="122"/>
      <c r="JF48" s="122"/>
      <c r="JG48" s="122"/>
      <c r="JH48" s="122"/>
      <c r="JI48" s="122"/>
      <c r="JJ48" s="122"/>
      <c r="JK48" s="122"/>
      <c r="JL48" s="122"/>
      <c r="JM48" s="122"/>
      <c r="JN48" s="122"/>
      <c r="JO48" s="122"/>
      <c r="JP48" s="122"/>
      <c r="JQ48" s="122"/>
      <c r="JR48" s="122"/>
      <c r="JS48" s="122"/>
      <c r="JT48" s="122"/>
      <c r="JU48" s="122"/>
      <c r="JV48" s="122"/>
      <c r="JW48" s="122"/>
      <c r="JX48" s="122"/>
      <c r="JY48" s="122"/>
      <c r="JZ48" s="122"/>
      <c r="KA48" s="122"/>
      <c r="KB48" s="122"/>
      <c r="KC48" s="122"/>
      <c r="KD48" s="122"/>
      <c r="KE48" s="122"/>
      <c r="KF48" s="122"/>
      <c r="KG48" s="122"/>
      <c r="KH48" s="122"/>
      <c r="KI48" s="122"/>
      <c r="KJ48" s="122"/>
      <c r="KK48" s="122"/>
      <c r="KL48" s="122"/>
      <c r="KM48" s="122"/>
      <c r="KN48" s="122"/>
      <c r="KO48" s="122"/>
      <c r="KP48" s="122"/>
      <c r="KQ48" s="122"/>
      <c r="KR48" s="122"/>
      <c r="KS48" s="122"/>
      <c r="KT48" s="122"/>
      <c r="KU48" s="122"/>
      <c r="KV48" s="122"/>
      <c r="KW48" s="122"/>
      <c r="KX48" s="122"/>
      <c r="KY48" s="122"/>
      <c r="KZ48" s="122"/>
      <c r="LA48" s="122"/>
      <c r="LB48" s="122"/>
      <c r="LC48" s="122"/>
      <c r="LD48" s="122"/>
      <c r="LE48" s="122"/>
      <c r="LF48" s="122"/>
      <c r="LG48" s="122"/>
      <c r="LH48" s="122"/>
      <c r="LI48" s="122"/>
      <c r="LJ48" s="122"/>
      <c r="LK48" s="122"/>
      <c r="LL48" s="122"/>
      <c r="LM48" s="122"/>
      <c r="LN48" s="122"/>
      <c r="LO48" s="122"/>
      <c r="LP48" s="122"/>
      <c r="LQ48" s="122"/>
      <c r="LR48" s="122"/>
      <c r="LS48" s="122"/>
      <c r="LT48" s="122"/>
      <c r="LU48" s="122"/>
      <c r="LV48" s="122"/>
      <c r="LW48" s="122"/>
      <c r="LX48" s="122"/>
      <c r="LY48" s="122"/>
      <c r="LZ48" s="122"/>
      <c r="MA48" s="122"/>
      <c r="MB48" s="122"/>
      <c r="MC48" s="122"/>
      <c r="MD48" s="122"/>
      <c r="ME48" s="122"/>
      <c r="MF48" s="122"/>
      <c r="MG48" s="122"/>
      <c r="MH48" s="122"/>
      <c r="MI48" s="122"/>
      <c r="MJ48" s="122"/>
      <c r="MK48" s="122"/>
      <c r="ML48" s="122"/>
      <c r="MM48" s="122"/>
      <c r="MN48" s="122"/>
      <c r="MO48" s="122"/>
      <c r="MP48" s="122"/>
      <c r="MQ48" s="122"/>
      <c r="MR48" s="122"/>
      <c r="MS48" s="122"/>
      <c r="MT48" s="122"/>
      <c r="MU48" s="122"/>
      <c r="MV48" s="122"/>
      <c r="MW48" s="122"/>
      <c r="MX48" s="122"/>
      <c r="MY48" s="122"/>
      <c r="MZ48" s="122"/>
      <c r="NA48" s="122"/>
      <c r="NB48" s="122"/>
      <c r="NC48" s="122"/>
      <c r="ND48" s="122"/>
      <c r="NE48" s="122"/>
      <c r="NF48" s="122"/>
      <c r="NG48" s="122"/>
      <c r="NH48" s="122"/>
      <c r="NI48" s="122"/>
      <c r="NJ48" s="122"/>
      <c r="NK48" s="122"/>
      <c r="NL48" s="122"/>
      <c r="NM48" s="122"/>
      <c r="NN48" s="122"/>
      <c r="NO48" s="122"/>
      <c r="NP48" s="122"/>
      <c r="NQ48" s="122"/>
      <c r="NR48" s="122"/>
      <c r="NS48" s="122"/>
      <c r="NT48" s="122"/>
      <c r="NU48" s="122"/>
      <c r="NV48" s="122"/>
      <c r="NW48" s="122"/>
      <c r="NX48" s="122"/>
      <c r="NY48" s="122"/>
      <c r="NZ48" s="122"/>
      <c r="OA48" s="122"/>
      <c r="OB48" s="122"/>
      <c r="OC48" s="122"/>
      <c r="OD48" s="122"/>
      <c r="OE48" s="122"/>
      <c r="OF48" s="122"/>
      <c r="OG48" s="122"/>
      <c r="OH48" s="122"/>
      <c r="OI48" s="122"/>
      <c r="OJ48" s="122"/>
      <c r="OK48" s="122"/>
      <c r="OL48" s="122"/>
      <c r="OM48" s="122"/>
      <c r="ON48" s="122"/>
      <c r="OO48" s="122"/>
      <c r="OP48" s="122"/>
      <c r="OQ48" s="122"/>
      <c r="OR48" s="122"/>
      <c r="OS48" s="122"/>
      <c r="OT48" s="122"/>
      <c r="OU48" s="122"/>
      <c r="OV48" s="122"/>
      <c r="OW48" s="122"/>
      <c r="OX48" s="122"/>
      <c r="OY48" s="122"/>
      <c r="OZ48" s="122"/>
      <c r="PA48" s="122"/>
      <c r="PB48" s="122"/>
      <c r="PC48" s="122"/>
      <c r="PD48" s="122"/>
      <c r="PE48" s="122"/>
      <c r="PF48" s="122"/>
      <c r="PG48" s="122"/>
      <c r="PH48" s="122"/>
      <c r="PI48" s="122"/>
      <c r="PJ48" s="122"/>
      <c r="PK48" s="122"/>
      <c r="PL48" s="122"/>
      <c r="PM48" s="122"/>
      <c r="PN48" s="122"/>
      <c r="PO48" s="122"/>
      <c r="PP48" s="122"/>
      <c r="PQ48" s="122"/>
      <c r="PR48" s="122"/>
      <c r="PS48" s="122"/>
      <c r="PT48" s="122"/>
      <c r="PU48" s="122"/>
      <c r="PV48" s="122"/>
      <c r="PW48" s="122"/>
      <c r="PX48" s="122"/>
      <c r="PY48" s="122"/>
      <c r="PZ48" s="122"/>
      <c r="QA48" s="122"/>
      <c r="QB48" s="122"/>
      <c r="QC48" s="122"/>
      <c r="QD48" s="122"/>
      <c r="QE48" s="122"/>
      <c r="QF48" s="122"/>
      <c r="QG48" s="122"/>
      <c r="QH48" s="122"/>
      <c r="QI48" s="122"/>
      <c r="QJ48" s="122"/>
      <c r="QK48" s="122"/>
      <c r="QL48" s="122"/>
      <c r="QM48" s="122"/>
      <c r="QN48" s="122"/>
      <c r="QO48" s="122"/>
      <c r="QP48" s="122"/>
      <c r="QQ48" s="122"/>
      <c r="QR48" s="122"/>
      <c r="QS48" s="122"/>
      <c r="QT48" s="122"/>
      <c r="QU48" s="122"/>
      <c r="QV48" s="122"/>
      <c r="QW48" s="122"/>
      <c r="QX48" s="122"/>
      <c r="QY48" s="122"/>
      <c r="QZ48" s="122"/>
      <c r="RA48" s="122"/>
      <c r="RB48" s="122"/>
      <c r="RC48" s="122"/>
      <c r="RD48" s="122"/>
      <c r="RE48" s="122"/>
      <c r="RF48" s="122"/>
      <c r="RG48" s="122"/>
      <c r="RH48" s="122"/>
      <c r="RI48" s="122"/>
      <c r="RJ48" s="122"/>
      <c r="RK48" s="122"/>
      <c r="RL48" s="122"/>
      <c r="RM48" s="122"/>
      <c r="RN48" s="122"/>
      <c r="RO48" s="122"/>
      <c r="RP48" s="122"/>
      <c r="RQ48" s="122"/>
      <c r="RR48" s="122"/>
      <c r="RS48" s="122"/>
      <c r="RT48" s="122"/>
      <c r="RU48" s="122"/>
      <c r="RV48" s="122"/>
      <c r="RW48" s="122"/>
      <c r="RX48" s="122"/>
      <c r="RY48" s="122"/>
      <c r="RZ48" s="122"/>
      <c r="SA48" s="122"/>
      <c r="SB48" s="122"/>
      <c r="SC48" s="122"/>
      <c r="SD48" s="122"/>
      <c r="SE48" s="122"/>
      <c r="SF48" s="122"/>
    </row>
    <row r="49" spans="1:500" s="657" customFormat="1" ht="43" customHeight="1" x14ac:dyDescent="0.25">
      <c r="A49" s="593" t="s">
        <v>3446</v>
      </c>
      <c r="B49" s="593" t="s">
        <v>3451</v>
      </c>
      <c r="C49" s="594" t="str">
        <f t="shared" si="10"/>
        <v>FIAT 500 electric 3+1 (Passion)</v>
      </c>
      <c r="D49" s="593" t="s">
        <v>2741</v>
      </c>
      <c r="E49" s="593">
        <v>87</v>
      </c>
      <c r="F49" s="593" t="s">
        <v>2521</v>
      </c>
      <c r="G49" s="642">
        <v>14.5</v>
      </c>
      <c r="H49" s="593"/>
      <c r="I49" s="593">
        <v>0</v>
      </c>
      <c r="J49" s="595"/>
      <c r="K49" s="595"/>
      <c r="L49" s="595">
        <v>30390</v>
      </c>
      <c r="M49" s="596"/>
      <c r="N49" s="643" t="s">
        <v>2875</v>
      </c>
      <c r="O49" s="659"/>
      <c r="P49" s="603"/>
      <c r="Q49" s="603"/>
      <c r="R49" s="603"/>
      <c r="S49" s="603"/>
      <c r="T49" s="603"/>
      <c r="U49" s="603"/>
      <c r="V49" s="603"/>
      <c r="W49" s="603"/>
      <c r="X49" s="603"/>
      <c r="Y49" s="603"/>
      <c r="Z49" s="603"/>
      <c r="AA49" s="603"/>
      <c r="AB49" s="603"/>
      <c r="AC49" s="603"/>
      <c r="AD49" s="603"/>
      <c r="AE49" s="611"/>
      <c r="AF49" s="611"/>
      <c r="AG49" s="609"/>
      <c r="AH49" s="611"/>
      <c r="AI49" s="611"/>
      <c r="AJ49" s="611"/>
      <c r="AK49" s="611"/>
      <c r="AL49" s="611"/>
      <c r="AM49" s="119"/>
      <c r="AN49" s="119"/>
      <c r="AO49" s="119"/>
      <c r="AP49" s="120"/>
      <c r="AQ49" s="120"/>
      <c r="AR49" s="120"/>
      <c r="AS49" s="120"/>
      <c r="AT49" s="120"/>
      <c r="AU49" s="120"/>
      <c r="AV49" s="120"/>
      <c r="AW49" s="120"/>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2"/>
      <c r="EI49" s="122"/>
      <c r="EJ49" s="122"/>
      <c r="EK49" s="122"/>
      <c r="EL49" s="122"/>
      <c r="EM49" s="122"/>
      <c r="EN49" s="122"/>
      <c r="EO49" s="122"/>
      <c r="EP49" s="122"/>
      <c r="EQ49" s="122"/>
      <c r="ER49" s="122"/>
      <c r="ES49" s="122"/>
      <c r="ET49" s="122"/>
      <c r="EU49" s="122"/>
      <c r="EV49" s="122"/>
      <c r="EW49" s="122"/>
      <c r="EX49" s="122"/>
      <c r="EY49" s="122"/>
      <c r="EZ49" s="122"/>
      <c r="FA49" s="122"/>
      <c r="FB49" s="122"/>
      <c r="FC49" s="122"/>
      <c r="FD49" s="122"/>
      <c r="FE49" s="122"/>
      <c r="FF49" s="122"/>
      <c r="FG49" s="122"/>
      <c r="FH49" s="122"/>
      <c r="FI49" s="122"/>
      <c r="FJ49" s="122"/>
      <c r="FK49" s="122"/>
      <c r="FL49" s="122"/>
      <c r="FM49" s="122"/>
      <c r="FN49" s="122"/>
      <c r="FO49" s="122"/>
      <c r="FP49" s="122"/>
      <c r="FQ49" s="122"/>
      <c r="FR49" s="122"/>
      <c r="FS49" s="122"/>
      <c r="FT49" s="122"/>
      <c r="FU49" s="122"/>
      <c r="FV49" s="122"/>
      <c r="FW49" s="122"/>
      <c r="FX49" s="122"/>
      <c r="FY49" s="122"/>
      <c r="FZ49" s="122"/>
      <c r="GA49" s="122"/>
      <c r="GB49" s="122"/>
      <c r="GC49" s="122"/>
      <c r="GD49" s="122"/>
      <c r="GE49" s="122"/>
      <c r="GF49" s="122"/>
      <c r="GG49" s="122"/>
      <c r="GH49" s="122"/>
      <c r="GI49" s="122"/>
      <c r="GJ49" s="122"/>
      <c r="GK49" s="122"/>
      <c r="GL49" s="122"/>
      <c r="GM49" s="122"/>
      <c r="GN49" s="122"/>
      <c r="GO49" s="122"/>
      <c r="GP49" s="122"/>
      <c r="GQ49" s="122"/>
      <c r="GR49" s="122"/>
      <c r="GS49" s="122"/>
      <c r="GT49" s="122"/>
      <c r="GU49" s="122"/>
      <c r="GV49" s="122"/>
      <c r="GW49" s="122"/>
      <c r="GX49" s="122"/>
      <c r="GY49" s="122"/>
      <c r="GZ49" s="122"/>
      <c r="HA49" s="122"/>
      <c r="HB49" s="122"/>
      <c r="HC49" s="122"/>
      <c r="HD49" s="122"/>
      <c r="HE49" s="122"/>
      <c r="HF49" s="122"/>
      <c r="HG49" s="122"/>
      <c r="HH49" s="122"/>
      <c r="HI49" s="122"/>
      <c r="HJ49" s="122"/>
      <c r="HK49" s="122"/>
      <c r="HL49" s="122"/>
      <c r="HM49" s="122"/>
      <c r="HN49" s="122"/>
      <c r="HO49" s="122"/>
      <c r="HP49" s="122"/>
      <c r="HQ49" s="122"/>
      <c r="HR49" s="122"/>
      <c r="HS49" s="122"/>
      <c r="HT49" s="122"/>
      <c r="HU49" s="122"/>
      <c r="HV49" s="122"/>
      <c r="HW49" s="122"/>
      <c r="HX49" s="122"/>
      <c r="HY49" s="122"/>
      <c r="HZ49" s="122"/>
      <c r="IA49" s="122"/>
      <c r="IB49" s="122"/>
      <c r="IC49" s="122"/>
      <c r="ID49" s="122"/>
      <c r="IE49" s="122"/>
      <c r="IF49" s="122"/>
      <c r="IG49" s="122"/>
      <c r="IH49" s="122"/>
      <c r="II49" s="122"/>
      <c r="IJ49" s="122"/>
      <c r="IK49" s="122"/>
      <c r="IL49" s="122"/>
      <c r="IM49" s="122"/>
      <c r="IN49" s="122"/>
      <c r="IO49" s="122"/>
      <c r="IP49" s="122"/>
      <c r="IQ49" s="122"/>
      <c r="IR49" s="122"/>
      <c r="IS49" s="122"/>
      <c r="IT49" s="122"/>
      <c r="IU49" s="122"/>
      <c r="IV49" s="122"/>
      <c r="IW49" s="122"/>
      <c r="IX49" s="122"/>
      <c r="IY49" s="122"/>
      <c r="IZ49" s="122"/>
      <c r="JA49" s="122"/>
      <c r="JB49" s="122"/>
      <c r="JC49" s="122"/>
      <c r="JD49" s="122"/>
      <c r="JE49" s="122"/>
      <c r="JF49" s="122"/>
      <c r="JG49" s="122"/>
      <c r="JH49" s="122"/>
      <c r="JI49" s="122"/>
      <c r="JJ49" s="122"/>
      <c r="JK49" s="122"/>
      <c r="JL49" s="122"/>
      <c r="JM49" s="122"/>
      <c r="JN49" s="122"/>
      <c r="JO49" s="122"/>
      <c r="JP49" s="122"/>
      <c r="JQ49" s="122"/>
      <c r="JR49" s="122"/>
      <c r="JS49" s="122"/>
      <c r="JT49" s="122"/>
      <c r="JU49" s="122"/>
      <c r="JV49" s="122"/>
      <c r="JW49" s="122"/>
      <c r="JX49" s="122"/>
      <c r="JY49" s="122"/>
      <c r="JZ49" s="122"/>
      <c r="KA49" s="122"/>
      <c r="KB49" s="122"/>
      <c r="KC49" s="122"/>
      <c r="KD49" s="122"/>
      <c r="KE49" s="122"/>
      <c r="KF49" s="122"/>
      <c r="KG49" s="122"/>
      <c r="KH49" s="122"/>
      <c r="KI49" s="122"/>
      <c r="KJ49" s="122"/>
      <c r="KK49" s="122"/>
      <c r="KL49" s="122"/>
      <c r="KM49" s="122"/>
      <c r="KN49" s="122"/>
      <c r="KO49" s="122"/>
      <c r="KP49" s="122"/>
      <c r="KQ49" s="122"/>
      <c r="KR49" s="122"/>
      <c r="KS49" s="122"/>
      <c r="KT49" s="122"/>
      <c r="KU49" s="122"/>
      <c r="KV49" s="122"/>
      <c r="KW49" s="122"/>
      <c r="KX49" s="122"/>
      <c r="KY49" s="122"/>
      <c r="KZ49" s="122"/>
      <c r="LA49" s="122"/>
      <c r="LB49" s="122"/>
      <c r="LC49" s="122"/>
      <c r="LD49" s="122"/>
      <c r="LE49" s="122"/>
      <c r="LF49" s="122"/>
      <c r="LG49" s="122"/>
      <c r="LH49" s="122"/>
      <c r="LI49" s="122"/>
      <c r="LJ49" s="122"/>
      <c r="LK49" s="122"/>
      <c r="LL49" s="122"/>
      <c r="LM49" s="122"/>
      <c r="LN49" s="122"/>
      <c r="LO49" s="122"/>
      <c r="LP49" s="122"/>
      <c r="LQ49" s="122"/>
      <c r="LR49" s="122"/>
      <c r="LS49" s="122"/>
      <c r="LT49" s="122"/>
      <c r="LU49" s="122"/>
      <c r="LV49" s="122"/>
      <c r="LW49" s="122"/>
      <c r="LX49" s="122"/>
      <c r="LY49" s="122"/>
      <c r="LZ49" s="122"/>
      <c r="MA49" s="122"/>
      <c r="MB49" s="122"/>
      <c r="MC49" s="122"/>
      <c r="MD49" s="122"/>
      <c r="ME49" s="122"/>
      <c r="MF49" s="122"/>
      <c r="MG49" s="122"/>
      <c r="MH49" s="122"/>
      <c r="MI49" s="122"/>
      <c r="MJ49" s="122"/>
      <c r="MK49" s="122"/>
      <c r="ML49" s="122"/>
      <c r="MM49" s="122"/>
      <c r="MN49" s="122"/>
      <c r="MO49" s="122"/>
      <c r="MP49" s="122"/>
      <c r="MQ49" s="122"/>
      <c r="MR49" s="122"/>
      <c r="MS49" s="122"/>
      <c r="MT49" s="122"/>
      <c r="MU49" s="122"/>
      <c r="MV49" s="122"/>
      <c r="MW49" s="122"/>
      <c r="MX49" s="122"/>
      <c r="MY49" s="122"/>
      <c r="MZ49" s="122"/>
      <c r="NA49" s="122"/>
      <c r="NB49" s="122"/>
      <c r="NC49" s="122"/>
      <c r="ND49" s="122"/>
      <c r="NE49" s="122"/>
      <c r="NF49" s="122"/>
      <c r="NG49" s="122"/>
      <c r="NH49" s="122"/>
      <c r="NI49" s="122"/>
      <c r="NJ49" s="122"/>
      <c r="NK49" s="122"/>
      <c r="NL49" s="122"/>
      <c r="NM49" s="122"/>
      <c r="NN49" s="122"/>
      <c r="NO49" s="122"/>
      <c r="NP49" s="122"/>
      <c r="NQ49" s="122"/>
      <c r="NR49" s="122"/>
      <c r="NS49" s="122"/>
      <c r="NT49" s="122"/>
      <c r="NU49" s="122"/>
      <c r="NV49" s="122"/>
      <c r="NW49" s="122"/>
      <c r="NX49" s="122"/>
      <c r="NY49" s="122"/>
      <c r="NZ49" s="122"/>
      <c r="OA49" s="122"/>
      <c r="OB49" s="122"/>
      <c r="OC49" s="122"/>
      <c r="OD49" s="122"/>
      <c r="OE49" s="122"/>
      <c r="OF49" s="122"/>
      <c r="OG49" s="122"/>
      <c r="OH49" s="122"/>
      <c r="OI49" s="122"/>
      <c r="OJ49" s="122"/>
      <c r="OK49" s="122"/>
      <c r="OL49" s="122"/>
      <c r="OM49" s="122"/>
      <c r="ON49" s="122"/>
      <c r="OO49" s="122"/>
      <c r="OP49" s="122"/>
      <c r="OQ49" s="122"/>
      <c r="OR49" s="122"/>
      <c r="OS49" s="122"/>
      <c r="OT49" s="122"/>
      <c r="OU49" s="122"/>
      <c r="OV49" s="122"/>
      <c r="OW49" s="122"/>
      <c r="OX49" s="122"/>
      <c r="OY49" s="122"/>
      <c r="OZ49" s="122"/>
      <c r="PA49" s="122"/>
      <c r="PB49" s="122"/>
      <c r="PC49" s="122"/>
      <c r="PD49" s="122"/>
      <c r="PE49" s="122"/>
      <c r="PF49" s="122"/>
      <c r="PG49" s="122"/>
      <c r="PH49" s="122"/>
      <c r="PI49" s="122"/>
      <c r="PJ49" s="122"/>
      <c r="PK49" s="122"/>
      <c r="PL49" s="122"/>
      <c r="PM49" s="122"/>
      <c r="PN49" s="122"/>
      <c r="PO49" s="122"/>
      <c r="PP49" s="122"/>
      <c r="PQ49" s="122"/>
      <c r="PR49" s="122"/>
      <c r="PS49" s="122"/>
      <c r="PT49" s="122"/>
      <c r="PU49" s="122"/>
      <c r="PV49" s="122"/>
      <c r="PW49" s="122"/>
      <c r="PX49" s="122"/>
      <c r="PY49" s="122"/>
      <c r="PZ49" s="122"/>
      <c r="QA49" s="122"/>
      <c r="QB49" s="122"/>
      <c r="QC49" s="122"/>
      <c r="QD49" s="122"/>
      <c r="QE49" s="122"/>
      <c r="QF49" s="122"/>
      <c r="QG49" s="122"/>
      <c r="QH49" s="122"/>
      <c r="QI49" s="122"/>
      <c r="QJ49" s="122"/>
      <c r="QK49" s="122"/>
      <c r="QL49" s="122"/>
      <c r="QM49" s="122"/>
      <c r="QN49" s="122"/>
      <c r="QO49" s="122"/>
      <c r="QP49" s="122"/>
      <c r="QQ49" s="122"/>
      <c r="QR49" s="122"/>
      <c r="QS49" s="122"/>
      <c r="QT49" s="122"/>
      <c r="QU49" s="122"/>
      <c r="QV49" s="122"/>
      <c r="QW49" s="122"/>
      <c r="QX49" s="122"/>
      <c r="QY49" s="122"/>
      <c r="QZ49" s="122"/>
      <c r="RA49" s="122"/>
      <c r="RB49" s="122"/>
      <c r="RC49" s="122"/>
      <c r="RD49" s="122"/>
      <c r="RE49" s="122"/>
      <c r="RF49" s="122"/>
      <c r="RG49" s="122"/>
      <c r="RH49" s="122"/>
      <c r="RI49" s="122"/>
      <c r="RJ49" s="122"/>
      <c r="RK49" s="122"/>
      <c r="RL49" s="122"/>
      <c r="RM49" s="122"/>
      <c r="RN49" s="122"/>
      <c r="RO49" s="122"/>
      <c r="RP49" s="122"/>
      <c r="RQ49" s="122"/>
      <c r="RR49" s="122"/>
      <c r="RS49" s="122"/>
      <c r="RT49" s="122"/>
      <c r="RU49" s="122"/>
      <c r="RV49" s="122"/>
      <c r="RW49" s="122"/>
      <c r="RX49" s="122"/>
      <c r="RY49" s="122"/>
      <c r="RZ49" s="122"/>
      <c r="SA49" s="122"/>
      <c r="SB49" s="122"/>
      <c r="SC49" s="122"/>
      <c r="SD49" s="122"/>
      <c r="SE49" s="122"/>
      <c r="SF49" s="122"/>
    </row>
    <row r="50" spans="1:500" s="657" customFormat="1" ht="43" customHeight="1" x14ac:dyDescent="0.25">
      <c r="A50" s="593" t="s">
        <v>3446</v>
      </c>
      <c r="B50" s="593" t="s">
        <v>3452</v>
      </c>
      <c r="C50" s="594" t="str">
        <f t="shared" si="10"/>
        <v>FIAT 500 electric 3+1 (Icon)</v>
      </c>
      <c r="D50" s="593" t="s">
        <v>2741</v>
      </c>
      <c r="E50" s="593">
        <v>87</v>
      </c>
      <c r="F50" s="593" t="s">
        <v>2521</v>
      </c>
      <c r="G50" s="642">
        <v>14.5</v>
      </c>
      <c r="H50" s="593"/>
      <c r="I50" s="593">
        <v>0</v>
      </c>
      <c r="J50" s="595"/>
      <c r="K50" s="595"/>
      <c r="L50" s="595">
        <v>31990</v>
      </c>
      <c r="M50" s="596"/>
      <c r="N50" s="643" t="s">
        <v>2875</v>
      </c>
      <c r="O50" s="659"/>
      <c r="P50" s="603"/>
      <c r="Q50" s="603"/>
      <c r="R50" s="603"/>
      <c r="S50" s="603"/>
      <c r="T50" s="603"/>
      <c r="U50" s="603"/>
      <c r="V50" s="603"/>
      <c r="W50" s="603"/>
      <c r="X50" s="603"/>
      <c r="Y50" s="603"/>
      <c r="Z50" s="603"/>
      <c r="AA50" s="603"/>
      <c r="AB50" s="603"/>
      <c r="AC50" s="603"/>
      <c r="AD50" s="603"/>
      <c r="AE50" s="611"/>
      <c r="AF50" s="611"/>
      <c r="AG50" s="609"/>
      <c r="AH50" s="611"/>
      <c r="AI50" s="611"/>
      <c r="AJ50" s="611"/>
      <c r="AK50" s="611"/>
      <c r="AL50" s="611"/>
      <c r="AM50" s="119"/>
      <c r="AN50" s="119"/>
      <c r="AO50" s="119"/>
      <c r="AP50" s="120"/>
      <c r="AQ50" s="120"/>
      <c r="AR50" s="120"/>
      <c r="AS50" s="120"/>
      <c r="AT50" s="120"/>
      <c r="AU50" s="120"/>
      <c r="AV50" s="120"/>
      <c r="AW50" s="120"/>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2"/>
      <c r="EI50" s="122"/>
      <c r="EJ50" s="122"/>
      <c r="EK50" s="122"/>
      <c r="EL50" s="122"/>
      <c r="EM50" s="122"/>
      <c r="EN50" s="122"/>
      <c r="EO50" s="122"/>
      <c r="EP50" s="122"/>
      <c r="EQ50" s="122"/>
      <c r="ER50" s="122"/>
      <c r="ES50" s="122"/>
      <c r="ET50" s="122"/>
      <c r="EU50" s="122"/>
      <c r="EV50" s="122"/>
      <c r="EW50" s="122"/>
      <c r="EX50" s="122"/>
      <c r="EY50" s="122"/>
      <c r="EZ50" s="122"/>
      <c r="FA50" s="122"/>
      <c r="FB50" s="122"/>
      <c r="FC50" s="122"/>
      <c r="FD50" s="122"/>
      <c r="FE50" s="122"/>
      <c r="FF50" s="122"/>
      <c r="FG50" s="122"/>
      <c r="FH50" s="122"/>
      <c r="FI50" s="122"/>
      <c r="FJ50" s="122"/>
      <c r="FK50" s="122"/>
      <c r="FL50" s="122"/>
      <c r="FM50" s="122"/>
      <c r="FN50" s="122"/>
      <c r="FO50" s="122"/>
      <c r="FP50" s="122"/>
      <c r="FQ50" s="122"/>
      <c r="FR50" s="122"/>
      <c r="FS50" s="122"/>
      <c r="FT50" s="122"/>
      <c r="FU50" s="122"/>
      <c r="FV50" s="122"/>
      <c r="FW50" s="122"/>
      <c r="FX50" s="122"/>
      <c r="FY50" s="122"/>
      <c r="FZ50" s="122"/>
      <c r="GA50" s="122"/>
      <c r="GB50" s="122"/>
      <c r="GC50" s="122"/>
      <c r="GD50" s="122"/>
      <c r="GE50" s="122"/>
      <c r="GF50" s="122"/>
      <c r="GG50" s="122"/>
      <c r="GH50" s="122"/>
      <c r="GI50" s="122"/>
      <c r="GJ50" s="122"/>
      <c r="GK50" s="122"/>
      <c r="GL50" s="122"/>
      <c r="GM50" s="122"/>
      <c r="GN50" s="122"/>
      <c r="GO50" s="122"/>
      <c r="GP50" s="122"/>
      <c r="GQ50" s="122"/>
      <c r="GR50" s="122"/>
      <c r="GS50" s="122"/>
      <c r="GT50" s="122"/>
      <c r="GU50" s="122"/>
      <c r="GV50" s="122"/>
      <c r="GW50" s="122"/>
      <c r="GX50" s="122"/>
      <c r="GY50" s="122"/>
      <c r="GZ50" s="122"/>
      <c r="HA50" s="122"/>
      <c r="HB50" s="122"/>
      <c r="HC50" s="122"/>
      <c r="HD50" s="122"/>
      <c r="HE50" s="122"/>
      <c r="HF50" s="122"/>
      <c r="HG50" s="122"/>
      <c r="HH50" s="122"/>
      <c r="HI50" s="122"/>
      <c r="HJ50" s="122"/>
      <c r="HK50" s="122"/>
      <c r="HL50" s="122"/>
      <c r="HM50" s="122"/>
      <c r="HN50" s="122"/>
      <c r="HO50" s="122"/>
      <c r="HP50" s="122"/>
      <c r="HQ50" s="122"/>
      <c r="HR50" s="122"/>
      <c r="HS50" s="122"/>
      <c r="HT50" s="122"/>
      <c r="HU50" s="122"/>
      <c r="HV50" s="122"/>
      <c r="HW50" s="122"/>
      <c r="HX50" s="122"/>
      <c r="HY50" s="122"/>
      <c r="HZ50" s="122"/>
      <c r="IA50" s="122"/>
      <c r="IB50" s="122"/>
      <c r="IC50" s="122"/>
      <c r="ID50" s="122"/>
      <c r="IE50" s="122"/>
      <c r="IF50" s="122"/>
      <c r="IG50" s="122"/>
      <c r="IH50" s="122"/>
      <c r="II50" s="122"/>
      <c r="IJ50" s="122"/>
      <c r="IK50" s="122"/>
      <c r="IL50" s="122"/>
      <c r="IM50" s="122"/>
      <c r="IN50" s="122"/>
      <c r="IO50" s="122"/>
      <c r="IP50" s="122"/>
      <c r="IQ50" s="122"/>
      <c r="IR50" s="122"/>
      <c r="IS50" s="122"/>
      <c r="IT50" s="122"/>
      <c r="IU50" s="122"/>
      <c r="IV50" s="122"/>
      <c r="IW50" s="122"/>
      <c r="IX50" s="122"/>
      <c r="IY50" s="122"/>
      <c r="IZ50" s="122"/>
      <c r="JA50" s="122"/>
      <c r="JB50" s="122"/>
      <c r="JC50" s="122"/>
      <c r="JD50" s="122"/>
      <c r="JE50" s="122"/>
      <c r="JF50" s="122"/>
      <c r="JG50" s="122"/>
      <c r="JH50" s="122"/>
      <c r="JI50" s="122"/>
      <c r="JJ50" s="122"/>
      <c r="JK50" s="122"/>
      <c r="JL50" s="122"/>
      <c r="JM50" s="122"/>
      <c r="JN50" s="122"/>
      <c r="JO50" s="122"/>
      <c r="JP50" s="122"/>
      <c r="JQ50" s="122"/>
      <c r="JR50" s="122"/>
      <c r="JS50" s="122"/>
      <c r="JT50" s="122"/>
      <c r="JU50" s="122"/>
      <c r="JV50" s="122"/>
      <c r="JW50" s="122"/>
      <c r="JX50" s="122"/>
      <c r="JY50" s="122"/>
      <c r="JZ50" s="122"/>
      <c r="KA50" s="122"/>
      <c r="KB50" s="122"/>
      <c r="KC50" s="122"/>
      <c r="KD50" s="122"/>
      <c r="KE50" s="122"/>
      <c r="KF50" s="122"/>
      <c r="KG50" s="122"/>
      <c r="KH50" s="122"/>
      <c r="KI50" s="122"/>
      <c r="KJ50" s="122"/>
      <c r="KK50" s="122"/>
      <c r="KL50" s="122"/>
      <c r="KM50" s="122"/>
      <c r="KN50" s="122"/>
      <c r="KO50" s="122"/>
      <c r="KP50" s="122"/>
      <c r="KQ50" s="122"/>
      <c r="KR50" s="122"/>
      <c r="KS50" s="122"/>
      <c r="KT50" s="122"/>
      <c r="KU50" s="122"/>
      <c r="KV50" s="122"/>
      <c r="KW50" s="122"/>
      <c r="KX50" s="122"/>
      <c r="KY50" s="122"/>
      <c r="KZ50" s="122"/>
      <c r="LA50" s="122"/>
      <c r="LB50" s="122"/>
      <c r="LC50" s="122"/>
      <c r="LD50" s="122"/>
      <c r="LE50" s="122"/>
      <c r="LF50" s="122"/>
      <c r="LG50" s="122"/>
      <c r="LH50" s="122"/>
      <c r="LI50" s="122"/>
      <c r="LJ50" s="122"/>
      <c r="LK50" s="122"/>
      <c r="LL50" s="122"/>
      <c r="LM50" s="122"/>
      <c r="LN50" s="122"/>
      <c r="LO50" s="122"/>
      <c r="LP50" s="122"/>
      <c r="LQ50" s="122"/>
      <c r="LR50" s="122"/>
      <c r="LS50" s="122"/>
      <c r="LT50" s="122"/>
      <c r="LU50" s="122"/>
      <c r="LV50" s="122"/>
      <c r="LW50" s="122"/>
      <c r="LX50" s="122"/>
      <c r="LY50" s="122"/>
      <c r="LZ50" s="122"/>
      <c r="MA50" s="122"/>
      <c r="MB50" s="122"/>
      <c r="MC50" s="122"/>
      <c r="MD50" s="122"/>
      <c r="ME50" s="122"/>
      <c r="MF50" s="122"/>
      <c r="MG50" s="122"/>
      <c r="MH50" s="122"/>
      <c r="MI50" s="122"/>
      <c r="MJ50" s="122"/>
      <c r="MK50" s="122"/>
      <c r="ML50" s="122"/>
      <c r="MM50" s="122"/>
      <c r="MN50" s="122"/>
      <c r="MO50" s="122"/>
      <c r="MP50" s="122"/>
      <c r="MQ50" s="122"/>
      <c r="MR50" s="122"/>
      <c r="MS50" s="122"/>
      <c r="MT50" s="122"/>
      <c r="MU50" s="122"/>
      <c r="MV50" s="122"/>
      <c r="MW50" s="122"/>
      <c r="MX50" s="122"/>
      <c r="MY50" s="122"/>
      <c r="MZ50" s="122"/>
      <c r="NA50" s="122"/>
      <c r="NB50" s="122"/>
      <c r="NC50" s="122"/>
      <c r="ND50" s="122"/>
      <c r="NE50" s="122"/>
      <c r="NF50" s="122"/>
      <c r="NG50" s="122"/>
      <c r="NH50" s="122"/>
      <c r="NI50" s="122"/>
      <c r="NJ50" s="122"/>
      <c r="NK50" s="122"/>
      <c r="NL50" s="122"/>
      <c r="NM50" s="122"/>
      <c r="NN50" s="122"/>
      <c r="NO50" s="122"/>
      <c r="NP50" s="122"/>
      <c r="NQ50" s="122"/>
      <c r="NR50" s="122"/>
      <c r="NS50" s="122"/>
      <c r="NT50" s="122"/>
      <c r="NU50" s="122"/>
      <c r="NV50" s="122"/>
      <c r="NW50" s="122"/>
      <c r="NX50" s="122"/>
      <c r="NY50" s="122"/>
      <c r="NZ50" s="122"/>
      <c r="OA50" s="122"/>
      <c r="OB50" s="122"/>
      <c r="OC50" s="122"/>
      <c r="OD50" s="122"/>
      <c r="OE50" s="122"/>
      <c r="OF50" s="122"/>
      <c r="OG50" s="122"/>
      <c r="OH50" s="122"/>
      <c r="OI50" s="122"/>
      <c r="OJ50" s="122"/>
      <c r="OK50" s="122"/>
      <c r="OL50" s="122"/>
      <c r="OM50" s="122"/>
      <c r="ON50" s="122"/>
      <c r="OO50" s="122"/>
      <c r="OP50" s="122"/>
      <c r="OQ50" s="122"/>
      <c r="OR50" s="122"/>
      <c r="OS50" s="122"/>
      <c r="OT50" s="122"/>
      <c r="OU50" s="122"/>
      <c r="OV50" s="122"/>
      <c r="OW50" s="122"/>
      <c r="OX50" s="122"/>
      <c r="OY50" s="122"/>
      <c r="OZ50" s="122"/>
      <c r="PA50" s="122"/>
      <c r="PB50" s="122"/>
      <c r="PC50" s="122"/>
      <c r="PD50" s="122"/>
      <c r="PE50" s="122"/>
      <c r="PF50" s="122"/>
      <c r="PG50" s="122"/>
      <c r="PH50" s="122"/>
      <c r="PI50" s="122"/>
      <c r="PJ50" s="122"/>
      <c r="PK50" s="122"/>
      <c r="PL50" s="122"/>
      <c r="PM50" s="122"/>
      <c r="PN50" s="122"/>
      <c r="PO50" s="122"/>
      <c r="PP50" s="122"/>
      <c r="PQ50" s="122"/>
      <c r="PR50" s="122"/>
      <c r="PS50" s="122"/>
      <c r="PT50" s="122"/>
      <c r="PU50" s="122"/>
      <c r="PV50" s="122"/>
      <c r="PW50" s="122"/>
      <c r="PX50" s="122"/>
      <c r="PY50" s="122"/>
      <c r="PZ50" s="122"/>
      <c r="QA50" s="122"/>
      <c r="QB50" s="122"/>
      <c r="QC50" s="122"/>
      <c r="QD50" s="122"/>
      <c r="QE50" s="122"/>
      <c r="QF50" s="122"/>
      <c r="QG50" s="122"/>
      <c r="QH50" s="122"/>
      <c r="QI50" s="122"/>
      <c r="QJ50" s="122"/>
      <c r="QK50" s="122"/>
      <c r="QL50" s="122"/>
      <c r="QM50" s="122"/>
      <c r="QN50" s="122"/>
      <c r="QO50" s="122"/>
      <c r="QP50" s="122"/>
      <c r="QQ50" s="122"/>
      <c r="QR50" s="122"/>
      <c r="QS50" s="122"/>
      <c r="QT50" s="122"/>
      <c r="QU50" s="122"/>
      <c r="QV50" s="122"/>
      <c r="QW50" s="122"/>
      <c r="QX50" s="122"/>
      <c r="QY50" s="122"/>
      <c r="QZ50" s="122"/>
      <c r="RA50" s="122"/>
      <c r="RB50" s="122"/>
      <c r="RC50" s="122"/>
      <c r="RD50" s="122"/>
      <c r="RE50" s="122"/>
      <c r="RF50" s="122"/>
      <c r="RG50" s="122"/>
      <c r="RH50" s="122"/>
      <c r="RI50" s="122"/>
      <c r="RJ50" s="122"/>
      <c r="RK50" s="122"/>
      <c r="RL50" s="122"/>
      <c r="RM50" s="122"/>
      <c r="RN50" s="122"/>
      <c r="RO50" s="122"/>
      <c r="RP50" s="122"/>
      <c r="RQ50" s="122"/>
      <c r="RR50" s="122"/>
      <c r="RS50" s="122"/>
      <c r="RT50" s="122"/>
      <c r="RU50" s="122"/>
      <c r="RV50" s="122"/>
      <c r="RW50" s="122"/>
      <c r="RX50" s="122"/>
      <c r="RY50" s="122"/>
      <c r="RZ50" s="122"/>
      <c r="SA50" s="122"/>
      <c r="SB50" s="122"/>
      <c r="SC50" s="122"/>
      <c r="SD50" s="122"/>
      <c r="SE50" s="122"/>
      <c r="SF50" s="122"/>
    </row>
    <row r="51" spans="1:500" s="657" customFormat="1" ht="43" customHeight="1" x14ac:dyDescent="0.25">
      <c r="A51" s="593" t="s">
        <v>3446</v>
      </c>
      <c r="B51" s="593" t="s">
        <v>3453</v>
      </c>
      <c r="C51" s="594" t="str">
        <f t="shared" ref="C51:C53" si="11">CONCATENATE(A51," ",B51)</f>
        <v>FIAT 500 electric 3+1 (La Prima)</v>
      </c>
      <c r="D51" s="593" t="s">
        <v>2741</v>
      </c>
      <c r="E51" s="593">
        <v>87</v>
      </c>
      <c r="F51" s="593" t="s">
        <v>2521</v>
      </c>
      <c r="G51" s="642">
        <v>14.5</v>
      </c>
      <c r="H51" s="593"/>
      <c r="I51" s="593">
        <v>0</v>
      </c>
      <c r="J51" s="595"/>
      <c r="K51" s="595"/>
      <c r="L51" s="595">
        <v>37490</v>
      </c>
      <c r="M51" s="596"/>
      <c r="N51" s="643" t="s">
        <v>2875</v>
      </c>
      <c r="O51" s="659"/>
      <c r="P51" s="603"/>
      <c r="Q51" s="603"/>
      <c r="R51" s="603"/>
      <c r="S51" s="603"/>
      <c r="T51" s="603"/>
      <c r="U51" s="603"/>
      <c r="V51" s="603"/>
      <c r="W51" s="603"/>
      <c r="X51" s="603"/>
      <c r="Y51" s="603"/>
      <c r="Z51" s="603"/>
      <c r="AA51" s="603"/>
      <c r="AB51" s="603"/>
      <c r="AC51" s="603"/>
      <c r="AD51" s="603"/>
      <c r="AE51" s="611"/>
      <c r="AF51" s="611"/>
      <c r="AG51" s="609"/>
      <c r="AH51" s="611"/>
      <c r="AI51" s="611"/>
      <c r="AJ51" s="611"/>
      <c r="AK51" s="611"/>
      <c r="AL51" s="611"/>
      <c r="AM51" s="119"/>
      <c r="AN51" s="119"/>
      <c r="AO51" s="119"/>
      <c r="AP51" s="120"/>
      <c r="AQ51" s="120"/>
      <c r="AR51" s="120"/>
      <c r="AS51" s="120"/>
      <c r="AT51" s="120"/>
      <c r="AU51" s="120"/>
      <c r="AV51" s="120"/>
      <c r="AW51" s="120"/>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2"/>
      <c r="EI51" s="122"/>
      <c r="EJ51" s="122"/>
      <c r="EK51" s="122"/>
      <c r="EL51" s="122"/>
      <c r="EM51" s="122"/>
      <c r="EN51" s="122"/>
      <c r="EO51" s="122"/>
      <c r="EP51" s="122"/>
      <c r="EQ51" s="122"/>
      <c r="ER51" s="122"/>
      <c r="ES51" s="122"/>
      <c r="ET51" s="122"/>
      <c r="EU51" s="122"/>
      <c r="EV51" s="122"/>
      <c r="EW51" s="122"/>
      <c r="EX51" s="122"/>
      <c r="EY51" s="122"/>
      <c r="EZ51" s="122"/>
      <c r="FA51" s="122"/>
      <c r="FB51" s="122"/>
      <c r="FC51" s="122"/>
      <c r="FD51" s="122"/>
      <c r="FE51" s="122"/>
      <c r="FF51" s="122"/>
      <c r="FG51" s="122"/>
      <c r="FH51" s="122"/>
      <c r="FI51" s="122"/>
      <c r="FJ51" s="122"/>
      <c r="FK51" s="122"/>
      <c r="FL51" s="122"/>
      <c r="FM51" s="122"/>
      <c r="FN51" s="122"/>
      <c r="FO51" s="122"/>
      <c r="FP51" s="122"/>
      <c r="FQ51" s="122"/>
      <c r="FR51" s="122"/>
      <c r="FS51" s="122"/>
      <c r="FT51" s="122"/>
      <c r="FU51" s="122"/>
      <c r="FV51" s="122"/>
      <c r="FW51" s="122"/>
      <c r="FX51" s="122"/>
      <c r="FY51" s="122"/>
      <c r="FZ51" s="122"/>
      <c r="GA51" s="122"/>
      <c r="GB51" s="122"/>
      <c r="GC51" s="122"/>
      <c r="GD51" s="122"/>
      <c r="GE51" s="122"/>
      <c r="GF51" s="122"/>
      <c r="GG51" s="122"/>
      <c r="GH51" s="122"/>
      <c r="GI51" s="122"/>
      <c r="GJ51" s="122"/>
      <c r="GK51" s="122"/>
      <c r="GL51" s="122"/>
      <c r="GM51" s="122"/>
      <c r="GN51" s="122"/>
      <c r="GO51" s="122"/>
      <c r="GP51" s="122"/>
      <c r="GQ51" s="122"/>
      <c r="GR51" s="122"/>
      <c r="GS51" s="122"/>
      <c r="GT51" s="122"/>
      <c r="GU51" s="122"/>
      <c r="GV51" s="122"/>
      <c r="GW51" s="122"/>
      <c r="GX51" s="122"/>
      <c r="GY51" s="122"/>
      <c r="GZ51" s="122"/>
      <c r="HA51" s="122"/>
      <c r="HB51" s="122"/>
      <c r="HC51" s="122"/>
      <c r="HD51" s="122"/>
      <c r="HE51" s="122"/>
      <c r="HF51" s="122"/>
      <c r="HG51" s="122"/>
      <c r="HH51" s="122"/>
      <c r="HI51" s="122"/>
      <c r="HJ51" s="122"/>
      <c r="HK51" s="122"/>
      <c r="HL51" s="122"/>
      <c r="HM51" s="122"/>
      <c r="HN51" s="122"/>
      <c r="HO51" s="122"/>
      <c r="HP51" s="122"/>
      <c r="HQ51" s="122"/>
      <c r="HR51" s="122"/>
      <c r="HS51" s="122"/>
      <c r="HT51" s="122"/>
      <c r="HU51" s="122"/>
      <c r="HV51" s="122"/>
      <c r="HW51" s="122"/>
      <c r="HX51" s="122"/>
      <c r="HY51" s="122"/>
      <c r="HZ51" s="122"/>
      <c r="IA51" s="122"/>
      <c r="IB51" s="122"/>
      <c r="IC51" s="122"/>
      <c r="ID51" s="122"/>
      <c r="IE51" s="122"/>
      <c r="IF51" s="122"/>
      <c r="IG51" s="122"/>
      <c r="IH51" s="122"/>
      <c r="II51" s="122"/>
      <c r="IJ51" s="122"/>
      <c r="IK51" s="122"/>
      <c r="IL51" s="122"/>
      <c r="IM51" s="122"/>
      <c r="IN51" s="122"/>
      <c r="IO51" s="122"/>
      <c r="IP51" s="122"/>
      <c r="IQ51" s="122"/>
      <c r="IR51" s="122"/>
      <c r="IS51" s="122"/>
      <c r="IT51" s="122"/>
      <c r="IU51" s="122"/>
      <c r="IV51" s="122"/>
      <c r="IW51" s="122"/>
      <c r="IX51" s="122"/>
      <c r="IY51" s="122"/>
      <c r="IZ51" s="122"/>
      <c r="JA51" s="122"/>
      <c r="JB51" s="122"/>
      <c r="JC51" s="122"/>
      <c r="JD51" s="122"/>
      <c r="JE51" s="122"/>
      <c r="JF51" s="122"/>
      <c r="JG51" s="122"/>
      <c r="JH51" s="122"/>
      <c r="JI51" s="122"/>
      <c r="JJ51" s="122"/>
      <c r="JK51" s="122"/>
      <c r="JL51" s="122"/>
      <c r="JM51" s="122"/>
      <c r="JN51" s="122"/>
      <c r="JO51" s="122"/>
      <c r="JP51" s="122"/>
      <c r="JQ51" s="122"/>
      <c r="JR51" s="122"/>
      <c r="JS51" s="122"/>
      <c r="JT51" s="122"/>
      <c r="JU51" s="122"/>
      <c r="JV51" s="122"/>
      <c r="JW51" s="122"/>
      <c r="JX51" s="122"/>
      <c r="JY51" s="122"/>
      <c r="JZ51" s="122"/>
      <c r="KA51" s="122"/>
      <c r="KB51" s="122"/>
      <c r="KC51" s="122"/>
      <c r="KD51" s="122"/>
      <c r="KE51" s="122"/>
      <c r="KF51" s="122"/>
      <c r="KG51" s="122"/>
      <c r="KH51" s="122"/>
      <c r="KI51" s="122"/>
      <c r="KJ51" s="122"/>
      <c r="KK51" s="122"/>
      <c r="KL51" s="122"/>
      <c r="KM51" s="122"/>
      <c r="KN51" s="122"/>
      <c r="KO51" s="122"/>
      <c r="KP51" s="122"/>
      <c r="KQ51" s="122"/>
      <c r="KR51" s="122"/>
      <c r="KS51" s="122"/>
      <c r="KT51" s="122"/>
      <c r="KU51" s="122"/>
      <c r="KV51" s="122"/>
      <c r="KW51" s="122"/>
      <c r="KX51" s="122"/>
      <c r="KY51" s="122"/>
      <c r="KZ51" s="122"/>
      <c r="LA51" s="122"/>
      <c r="LB51" s="122"/>
      <c r="LC51" s="122"/>
      <c r="LD51" s="122"/>
      <c r="LE51" s="122"/>
      <c r="LF51" s="122"/>
      <c r="LG51" s="122"/>
      <c r="LH51" s="122"/>
      <c r="LI51" s="122"/>
      <c r="LJ51" s="122"/>
      <c r="LK51" s="122"/>
      <c r="LL51" s="122"/>
      <c r="LM51" s="122"/>
      <c r="LN51" s="122"/>
      <c r="LO51" s="122"/>
      <c r="LP51" s="122"/>
      <c r="LQ51" s="122"/>
      <c r="LR51" s="122"/>
      <c r="LS51" s="122"/>
      <c r="LT51" s="122"/>
      <c r="LU51" s="122"/>
      <c r="LV51" s="122"/>
      <c r="LW51" s="122"/>
      <c r="LX51" s="122"/>
      <c r="LY51" s="122"/>
      <c r="LZ51" s="122"/>
      <c r="MA51" s="122"/>
      <c r="MB51" s="122"/>
      <c r="MC51" s="122"/>
      <c r="MD51" s="122"/>
      <c r="ME51" s="122"/>
      <c r="MF51" s="122"/>
      <c r="MG51" s="122"/>
      <c r="MH51" s="122"/>
      <c r="MI51" s="122"/>
      <c r="MJ51" s="122"/>
      <c r="MK51" s="122"/>
      <c r="ML51" s="122"/>
      <c r="MM51" s="122"/>
      <c r="MN51" s="122"/>
      <c r="MO51" s="122"/>
      <c r="MP51" s="122"/>
      <c r="MQ51" s="122"/>
      <c r="MR51" s="122"/>
      <c r="MS51" s="122"/>
      <c r="MT51" s="122"/>
      <c r="MU51" s="122"/>
      <c r="MV51" s="122"/>
      <c r="MW51" s="122"/>
      <c r="MX51" s="122"/>
      <c r="MY51" s="122"/>
      <c r="MZ51" s="122"/>
      <c r="NA51" s="122"/>
      <c r="NB51" s="122"/>
      <c r="NC51" s="122"/>
      <c r="ND51" s="122"/>
      <c r="NE51" s="122"/>
      <c r="NF51" s="122"/>
      <c r="NG51" s="122"/>
      <c r="NH51" s="122"/>
      <c r="NI51" s="122"/>
      <c r="NJ51" s="122"/>
      <c r="NK51" s="122"/>
      <c r="NL51" s="122"/>
      <c r="NM51" s="122"/>
      <c r="NN51" s="122"/>
      <c r="NO51" s="122"/>
      <c r="NP51" s="122"/>
      <c r="NQ51" s="122"/>
      <c r="NR51" s="122"/>
      <c r="NS51" s="122"/>
      <c r="NT51" s="122"/>
      <c r="NU51" s="122"/>
      <c r="NV51" s="122"/>
      <c r="NW51" s="122"/>
      <c r="NX51" s="122"/>
      <c r="NY51" s="122"/>
      <c r="NZ51" s="122"/>
      <c r="OA51" s="122"/>
      <c r="OB51" s="122"/>
      <c r="OC51" s="122"/>
      <c r="OD51" s="122"/>
      <c r="OE51" s="122"/>
      <c r="OF51" s="122"/>
      <c r="OG51" s="122"/>
      <c r="OH51" s="122"/>
      <c r="OI51" s="122"/>
      <c r="OJ51" s="122"/>
      <c r="OK51" s="122"/>
      <c r="OL51" s="122"/>
      <c r="OM51" s="122"/>
      <c r="ON51" s="122"/>
      <c r="OO51" s="122"/>
      <c r="OP51" s="122"/>
      <c r="OQ51" s="122"/>
      <c r="OR51" s="122"/>
      <c r="OS51" s="122"/>
      <c r="OT51" s="122"/>
      <c r="OU51" s="122"/>
      <c r="OV51" s="122"/>
      <c r="OW51" s="122"/>
      <c r="OX51" s="122"/>
      <c r="OY51" s="122"/>
      <c r="OZ51" s="122"/>
      <c r="PA51" s="122"/>
      <c r="PB51" s="122"/>
      <c r="PC51" s="122"/>
      <c r="PD51" s="122"/>
      <c r="PE51" s="122"/>
      <c r="PF51" s="122"/>
      <c r="PG51" s="122"/>
      <c r="PH51" s="122"/>
      <c r="PI51" s="122"/>
      <c r="PJ51" s="122"/>
      <c r="PK51" s="122"/>
      <c r="PL51" s="122"/>
      <c r="PM51" s="122"/>
      <c r="PN51" s="122"/>
      <c r="PO51" s="122"/>
      <c r="PP51" s="122"/>
      <c r="PQ51" s="122"/>
      <c r="PR51" s="122"/>
      <c r="PS51" s="122"/>
      <c r="PT51" s="122"/>
      <c r="PU51" s="122"/>
      <c r="PV51" s="122"/>
      <c r="PW51" s="122"/>
      <c r="PX51" s="122"/>
      <c r="PY51" s="122"/>
      <c r="PZ51" s="122"/>
      <c r="QA51" s="122"/>
      <c r="QB51" s="122"/>
      <c r="QC51" s="122"/>
      <c r="QD51" s="122"/>
      <c r="QE51" s="122"/>
      <c r="QF51" s="122"/>
      <c r="QG51" s="122"/>
      <c r="QH51" s="122"/>
      <c r="QI51" s="122"/>
      <c r="QJ51" s="122"/>
      <c r="QK51" s="122"/>
      <c r="QL51" s="122"/>
      <c r="QM51" s="122"/>
      <c r="QN51" s="122"/>
      <c r="QO51" s="122"/>
      <c r="QP51" s="122"/>
      <c r="QQ51" s="122"/>
      <c r="QR51" s="122"/>
      <c r="QS51" s="122"/>
      <c r="QT51" s="122"/>
      <c r="QU51" s="122"/>
      <c r="QV51" s="122"/>
      <c r="QW51" s="122"/>
      <c r="QX51" s="122"/>
      <c r="QY51" s="122"/>
      <c r="QZ51" s="122"/>
      <c r="RA51" s="122"/>
      <c r="RB51" s="122"/>
      <c r="RC51" s="122"/>
      <c r="RD51" s="122"/>
      <c r="RE51" s="122"/>
      <c r="RF51" s="122"/>
      <c r="RG51" s="122"/>
      <c r="RH51" s="122"/>
      <c r="RI51" s="122"/>
      <c r="RJ51" s="122"/>
      <c r="RK51" s="122"/>
      <c r="RL51" s="122"/>
      <c r="RM51" s="122"/>
      <c r="RN51" s="122"/>
      <c r="RO51" s="122"/>
      <c r="RP51" s="122"/>
      <c r="RQ51" s="122"/>
      <c r="RR51" s="122"/>
      <c r="RS51" s="122"/>
      <c r="RT51" s="122"/>
      <c r="RU51" s="122"/>
      <c r="RV51" s="122"/>
      <c r="RW51" s="122"/>
      <c r="RX51" s="122"/>
      <c r="RY51" s="122"/>
      <c r="RZ51" s="122"/>
      <c r="SA51" s="122"/>
      <c r="SB51" s="122"/>
      <c r="SC51" s="122"/>
      <c r="SD51" s="122"/>
      <c r="SE51" s="122"/>
      <c r="SF51" s="122"/>
    </row>
    <row r="52" spans="1:500" s="657" customFormat="1" ht="43" customHeight="1" x14ac:dyDescent="0.25">
      <c r="A52" s="593" t="s">
        <v>3446</v>
      </c>
      <c r="B52" s="593" t="s">
        <v>3454</v>
      </c>
      <c r="C52" s="594" t="str">
        <f t="shared" si="11"/>
        <v>FIAT 500 electric Cabrio (Passion)</v>
      </c>
      <c r="D52" s="593" t="s">
        <v>2741</v>
      </c>
      <c r="E52" s="593">
        <v>87</v>
      </c>
      <c r="F52" s="593" t="s">
        <v>2521</v>
      </c>
      <c r="G52" s="642">
        <v>14.5</v>
      </c>
      <c r="H52" s="593"/>
      <c r="I52" s="593">
        <v>0</v>
      </c>
      <c r="J52" s="595"/>
      <c r="K52" s="595"/>
      <c r="L52" s="595">
        <v>31390</v>
      </c>
      <c r="M52" s="596"/>
      <c r="N52" s="643" t="s">
        <v>2875</v>
      </c>
      <c r="O52" s="659"/>
      <c r="P52" s="603"/>
      <c r="Q52" s="603"/>
      <c r="R52" s="603"/>
      <c r="S52" s="603"/>
      <c r="T52" s="603"/>
      <c r="U52" s="603"/>
      <c r="V52" s="603"/>
      <c r="W52" s="603"/>
      <c r="X52" s="603"/>
      <c r="Y52" s="603"/>
      <c r="Z52" s="603"/>
      <c r="AA52" s="603"/>
      <c r="AB52" s="603"/>
      <c r="AC52" s="603"/>
      <c r="AD52" s="603"/>
      <c r="AE52" s="611"/>
      <c r="AF52" s="611"/>
      <c r="AG52" s="609"/>
      <c r="AH52" s="611"/>
      <c r="AI52" s="611"/>
      <c r="AJ52" s="611"/>
      <c r="AK52" s="611"/>
      <c r="AL52" s="611"/>
      <c r="AM52" s="119"/>
      <c r="AN52" s="119"/>
      <c r="AO52" s="119"/>
      <c r="AP52" s="120"/>
      <c r="AQ52" s="120"/>
      <c r="AR52" s="120"/>
      <c r="AS52" s="120"/>
      <c r="AT52" s="120"/>
      <c r="AU52" s="120"/>
      <c r="AV52" s="120"/>
      <c r="AW52" s="120"/>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2"/>
      <c r="EI52" s="122"/>
      <c r="EJ52" s="122"/>
      <c r="EK52" s="122"/>
      <c r="EL52" s="122"/>
      <c r="EM52" s="122"/>
      <c r="EN52" s="122"/>
      <c r="EO52" s="122"/>
      <c r="EP52" s="122"/>
      <c r="EQ52" s="122"/>
      <c r="ER52" s="122"/>
      <c r="ES52" s="122"/>
      <c r="ET52" s="122"/>
      <c r="EU52" s="122"/>
      <c r="EV52" s="122"/>
      <c r="EW52" s="122"/>
      <c r="EX52" s="122"/>
      <c r="EY52" s="122"/>
      <c r="EZ52" s="122"/>
      <c r="FA52" s="122"/>
      <c r="FB52" s="122"/>
      <c r="FC52" s="122"/>
      <c r="FD52" s="122"/>
      <c r="FE52" s="122"/>
      <c r="FF52" s="122"/>
      <c r="FG52" s="122"/>
      <c r="FH52" s="122"/>
      <c r="FI52" s="122"/>
      <c r="FJ52" s="122"/>
      <c r="FK52" s="122"/>
      <c r="FL52" s="122"/>
      <c r="FM52" s="122"/>
      <c r="FN52" s="122"/>
      <c r="FO52" s="122"/>
      <c r="FP52" s="122"/>
      <c r="FQ52" s="122"/>
      <c r="FR52" s="122"/>
      <c r="FS52" s="122"/>
      <c r="FT52" s="122"/>
      <c r="FU52" s="122"/>
      <c r="FV52" s="122"/>
      <c r="FW52" s="122"/>
      <c r="FX52" s="122"/>
      <c r="FY52" s="122"/>
      <c r="FZ52" s="122"/>
      <c r="GA52" s="122"/>
      <c r="GB52" s="122"/>
      <c r="GC52" s="122"/>
      <c r="GD52" s="122"/>
      <c r="GE52" s="122"/>
      <c r="GF52" s="122"/>
      <c r="GG52" s="122"/>
      <c r="GH52" s="122"/>
      <c r="GI52" s="122"/>
      <c r="GJ52" s="122"/>
      <c r="GK52" s="122"/>
      <c r="GL52" s="122"/>
      <c r="GM52" s="122"/>
      <c r="GN52" s="122"/>
      <c r="GO52" s="122"/>
      <c r="GP52" s="122"/>
      <c r="GQ52" s="122"/>
      <c r="GR52" s="122"/>
      <c r="GS52" s="122"/>
      <c r="GT52" s="122"/>
      <c r="GU52" s="122"/>
      <c r="GV52" s="122"/>
      <c r="GW52" s="122"/>
      <c r="GX52" s="122"/>
      <c r="GY52" s="122"/>
      <c r="GZ52" s="122"/>
      <c r="HA52" s="122"/>
      <c r="HB52" s="122"/>
      <c r="HC52" s="122"/>
      <c r="HD52" s="122"/>
      <c r="HE52" s="122"/>
      <c r="HF52" s="122"/>
      <c r="HG52" s="122"/>
      <c r="HH52" s="122"/>
      <c r="HI52" s="122"/>
      <c r="HJ52" s="122"/>
      <c r="HK52" s="122"/>
      <c r="HL52" s="122"/>
      <c r="HM52" s="122"/>
      <c r="HN52" s="122"/>
      <c r="HO52" s="122"/>
      <c r="HP52" s="122"/>
      <c r="HQ52" s="122"/>
      <c r="HR52" s="122"/>
      <c r="HS52" s="122"/>
      <c r="HT52" s="122"/>
      <c r="HU52" s="122"/>
      <c r="HV52" s="122"/>
      <c r="HW52" s="122"/>
      <c r="HX52" s="122"/>
      <c r="HY52" s="122"/>
      <c r="HZ52" s="122"/>
      <c r="IA52" s="122"/>
      <c r="IB52" s="122"/>
      <c r="IC52" s="122"/>
      <c r="ID52" s="122"/>
      <c r="IE52" s="122"/>
      <c r="IF52" s="122"/>
      <c r="IG52" s="122"/>
      <c r="IH52" s="122"/>
      <c r="II52" s="122"/>
      <c r="IJ52" s="122"/>
      <c r="IK52" s="122"/>
      <c r="IL52" s="122"/>
      <c r="IM52" s="122"/>
      <c r="IN52" s="122"/>
      <c r="IO52" s="122"/>
      <c r="IP52" s="122"/>
      <c r="IQ52" s="122"/>
      <c r="IR52" s="122"/>
      <c r="IS52" s="122"/>
      <c r="IT52" s="122"/>
      <c r="IU52" s="122"/>
      <c r="IV52" s="122"/>
      <c r="IW52" s="122"/>
      <c r="IX52" s="122"/>
      <c r="IY52" s="122"/>
      <c r="IZ52" s="122"/>
      <c r="JA52" s="122"/>
      <c r="JB52" s="122"/>
      <c r="JC52" s="122"/>
      <c r="JD52" s="122"/>
      <c r="JE52" s="122"/>
      <c r="JF52" s="122"/>
      <c r="JG52" s="122"/>
      <c r="JH52" s="122"/>
      <c r="JI52" s="122"/>
      <c r="JJ52" s="122"/>
      <c r="JK52" s="122"/>
      <c r="JL52" s="122"/>
      <c r="JM52" s="122"/>
      <c r="JN52" s="122"/>
      <c r="JO52" s="122"/>
      <c r="JP52" s="122"/>
      <c r="JQ52" s="122"/>
      <c r="JR52" s="122"/>
      <c r="JS52" s="122"/>
      <c r="JT52" s="122"/>
      <c r="JU52" s="122"/>
      <c r="JV52" s="122"/>
      <c r="JW52" s="122"/>
      <c r="JX52" s="122"/>
      <c r="JY52" s="122"/>
      <c r="JZ52" s="122"/>
      <c r="KA52" s="122"/>
      <c r="KB52" s="122"/>
      <c r="KC52" s="122"/>
      <c r="KD52" s="122"/>
      <c r="KE52" s="122"/>
      <c r="KF52" s="122"/>
      <c r="KG52" s="122"/>
      <c r="KH52" s="122"/>
      <c r="KI52" s="122"/>
      <c r="KJ52" s="122"/>
      <c r="KK52" s="122"/>
      <c r="KL52" s="122"/>
      <c r="KM52" s="122"/>
      <c r="KN52" s="122"/>
      <c r="KO52" s="122"/>
      <c r="KP52" s="122"/>
      <c r="KQ52" s="122"/>
      <c r="KR52" s="122"/>
      <c r="KS52" s="122"/>
      <c r="KT52" s="122"/>
      <c r="KU52" s="122"/>
      <c r="KV52" s="122"/>
      <c r="KW52" s="122"/>
      <c r="KX52" s="122"/>
      <c r="KY52" s="122"/>
      <c r="KZ52" s="122"/>
      <c r="LA52" s="122"/>
      <c r="LB52" s="122"/>
      <c r="LC52" s="122"/>
      <c r="LD52" s="122"/>
      <c r="LE52" s="122"/>
      <c r="LF52" s="122"/>
      <c r="LG52" s="122"/>
      <c r="LH52" s="122"/>
      <c r="LI52" s="122"/>
      <c r="LJ52" s="122"/>
      <c r="LK52" s="122"/>
      <c r="LL52" s="122"/>
      <c r="LM52" s="122"/>
      <c r="LN52" s="122"/>
      <c r="LO52" s="122"/>
      <c r="LP52" s="122"/>
      <c r="LQ52" s="122"/>
      <c r="LR52" s="122"/>
      <c r="LS52" s="122"/>
      <c r="LT52" s="122"/>
      <c r="LU52" s="122"/>
      <c r="LV52" s="122"/>
      <c r="LW52" s="122"/>
      <c r="LX52" s="122"/>
      <c r="LY52" s="122"/>
      <c r="LZ52" s="122"/>
      <c r="MA52" s="122"/>
      <c r="MB52" s="122"/>
      <c r="MC52" s="122"/>
      <c r="MD52" s="122"/>
      <c r="ME52" s="122"/>
      <c r="MF52" s="122"/>
      <c r="MG52" s="122"/>
      <c r="MH52" s="122"/>
      <c r="MI52" s="122"/>
      <c r="MJ52" s="122"/>
      <c r="MK52" s="122"/>
      <c r="ML52" s="122"/>
      <c r="MM52" s="122"/>
      <c r="MN52" s="122"/>
      <c r="MO52" s="122"/>
      <c r="MP52" s="122"/>
      <c r="MQ52" s="122"/>
      <c r="MR52" s="122"/>
      <c r="MS52" s="122"/>
      <c r="MT52" s="122"/>
      <c r="MU52" s="122"/>
      <c r="MV52" s="122"/>
      <c r="MW52" s="122"/>
      <c r="MX52" s="122"/>
      <c r="MY52" s="122"/>
      <c r="MZ52" s="122"/>
      <c r="NA52" s="122"/>
      <c r="NB52" s="122"/>
      <c r="NC52" s="122"/>
      <c r="ND52" s="122"/>
      <c r="NE52" s="122"/>
      <c r="NF52" s="122"/>
      <c r="NG52" s="122"/>
      <c r="NH52" s="122"/>
      <c r="NI52" s="122"/>
      <c r="NJ52" s="122"/>
      <c r="NK52" s="122"/>
      <c r="NL52" s="122"/>
      <c r="NM52" s="122"/>
      <c r="NN52" s="122"/>
      <c r="NO52" s="122"/>
      <c r="NP52" s="122"/>
      <c r="NQ52" s="122"/>
      <c r="NR52" s="122"/>
      <c r="NS52" s="122"/>
      <c r="NT52" s="122"/>
      <c r="NU52" s="122"/>
      <c r="NV52" s="122"/>
      <c r="NW52" s="122"/>
      <c r="NX52" s="122"/>
      <c r="NY52" s="122"/>
      <c r="NZ52" s="122"/>
      <c r="OA52" s="122"/>
      <c r="OB52" s="122"/>
      <c r="OC52" s="122"/>
      <c r="OD52" s="122"/>
      <c r="OE52" s="122"/>
      <c r="OF52" s="122"/>
      <c r="OG52" s="122"/>
      <c r="OH52" s="122"/>
      <c r="OI52" s="122"/>
      <c r="OJ52" s="122"/>
      <c r="OK52" s="122"/>
      <c r="OL52" s="122"/>
      <c r="OM52" s="122"/>
      <c r="ON52" s="122"/>
      <c r="OO52" s="122"/>
      <c r="OP52" s="122"/>
      <c r="OQ52" s="122"/>
      <c r="OR52" s="122"/>
      <c r="OS52" s="122"/>
      <c r="OT52" s="122"/>
      <c r="OU52" s="122"/>
      <c r="OV52" s="122"/>
      <c r="OW52" s="122"/>
      <c r="OX52" s="122"/>
      <c r="OY52" s="122"/>
      <c r="OZ52" s="122"/>
      <c r="PA52" s="122"/>
      <c r="PB52" s="122"/>
      <c r="PC52" s="122"/>
      <c r="PD52" s="122"/>
      <c r="PE52" s="122"/>
      <c r="PF52" s="122"/>
      <c r="PG52" s="122"/>
      <c r="PH52" s="122"/>
      <c r="PI52" s="122"/>
      <c r="PJ52" s="122"/>
      <c r="PK52" s="122"/>
      <c r="PL52" s="122"/>
      <c r="PM52" s="122"/>
      <c r="PN52" s="122"/>
      <c r="PO52" s="122"/>
      <c r="PP52" s="122"/>
      <c r="PQ52" s="122"/>
      <c r="PR52" s="122"/>
      <c r="PS52" s="122"/>
      <c r="PT52" s="122"/>
      <c r="PU52" s="122"/>
      <c r="PV52" s="122"/>
      <c r="PW52" s="122"/>
      <c r="PX52" s="122"/>
      <c r="PY52" s="122"/>
      <c r="PZ52" s="122"/>
      <c r="QA52" s="122"/>
      <c r="QB52" s="122"/>
      <c r="QC52" s="122"/>
      <c r="QD52" s="122"/>
      <c r="QE52" s="122"/>
      <c r="QF52" s="122"/>
      <c r="QG52" s="122"/>
      <c r="QH52" s="122"/>
      <c r="QI52" s="122"/>
      <c r="QJ52" s="122"/>
      <c r="QK52" s="122"/>
      <c r="QL52" s="122"/>
      <c r="QM52" s="122"/>
      <c r="QN52" s="122"/>
      <c r="QO52" s="122"/>
      <c r="QP52" s="122"/>
      <c r="QQ52" s="122"/>
      <c r="QR52" s="122"/>
      <c r="QS52" s="122"/>
      <c r="QT52" s="122"/>
      <c r="QU52" s="122"/>
      <c r="QV52" s="122"/>
      <c r="QW52" s="122"/>
      <c r="QX52" s="122"/>
      <c r="QY52" s="122"/>
      <c r="QZ52" s="122"/>
      <c r="RA52" s="122"/>
      <c r="RB52" s="122"/>
      <c r="RC52" s="122"/>
      <c r="RD52" s="122"/>
      <c r="RE52" s="122"/>
      <c r="RF52" s="122"/>
      <c r="RG52" s="122"/>
      <c r="RH52" s="122"/>
      <c r="RI52" s="122"/>
      <c r="RJ52" s="122"/>
      <c r="RK52" s="122"/>
      <c r="RL52" s="122"/>
      <c r="RM52" s="122"/>
      <c r="RN52" s="122"/>
      <c r="RO52" s="122"/>
      <c r="RP52" s="122"/>
      <c r="RQ52" s="122"/>
      <c r="RR52" s="122"/>
      <c r="RS52" s="122"/>
      <c r="RT52" s="122"/>
      <c r="RU52" s="122"/>
      <c r="RV52" s="122"/>
      <c r="RW52" s="122"/>
      <c r="RX52" s="122"/>
      <c r="RY52" s="122"/>
      <c r="RZ52" s="122"/>
      <c r="SA52" s="122"/>
      <c r="SB52" s="122"/>
      <c r="SC52" s="122"/>
      <c r="SD52" s="122"/>
      <c r="SE52" s="122"/>
      <c r="SF52" s="122"/>
    </row>
    <row r="53" spans="1:500" s="657" customFormat="1" ht="43" customHeight="1" x14ac:dyDescent="0.25">
      <c r="A53" s="593" t="s">
        <v>3446</v>
      </c>
      <c r="B53" s="593" t="s">
        <v>3455</v>
      </c>
      <c r="C53" s="594" t="str">
        <f t="shared" si="11"/>
        <v>FIAT 500 electric Cabrio (Icon)</v>
      </c>
      <c r="D53" s="593" t="s">
        <v>2741</v>
      </c>
      <c r="E53" s="593">
        <v>87</v>
      </c>
      <c r="F53" s="593" t="s">
        <v>2521</v>
      </c>
      <c r="G53" s="642">
        <v>14.5</v>
      </c>
      <c r="H53" s="593"/>
      <c r="I53" s="593">
        <v>0</v>
      </c>
      <c r="J53" s="595"/>
      <c r="K53" s="595"/>
      <c r="L53" s="595">
        <v>32990</v>
      </c>
      <c r="M53" s="596"/>
      <c r="N53" s="643" t="s">
        <v>2875</v>
      </c>
      <c r="O53" s="659"/>
      <c r="P53" s="603"/>
      <c r="Q53" s="603"/>
      <c r="R53" s="603"/>
      <c r="S53" s="603"/>
      <c r="T53" s="603"/>
      <c r="U53" s="603"/>
      <c r="V53" s="603"/>
      <c r="W53" s="603"/>
      <c r="X53" s="603"/>
      <c r="Y53" s="603"/>
      <c r="Z53" s="603"/>
      <c r="AA53" s="603"/>
      <c r="AB53" s="603"/>
      <c r="AC53" s="603"/>
      <c r="AD53" s="603"/>
      <c r="AE53" s="611"/>
      <c r="AF53" s="611"/>
      <c r="AG53" s="609"/>
      <c r="AH53" s="611"/>
      <c r="AI53" s="611"/>
      <c r="AJ53" s="611"/>
      <c r="AK53" s="611"/>
      <c r="AL53" s="611"/>
      <c r="AM53" s="119"/>
      <c r="AN53" s="119"/>
      <c r="AO53" s="119"/>
      <c r="AP53" s="120"/>
      <c r="AQ53" s="120"/>
      <c r="AR53" s="120"/>
      <c r="AS53" s="120"/>
      <c r="AT53" s="120"/>
      <c r="AU53" s="120"/>
      <c r="AV53" s="120"/>
      <c r="AW53" s="120"/>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2"/>
      <c r="EI53" s="122"/>
      <c r="EJ53" s="122"/>
      <c r="EK53" s="122"/>
      <c r="EL53" s="122"/>
      <c r="EM53" s="122"/>
      <c r="EN53" s="122"/>
      <c r="EO53" s="122"/>
      <c r="EP53" s="122"/>
      <c r="EQ53" s="122"/>
      <c r="ER53" s="122"/>
      <c r="ES53" s="122"/>
      <c r="ET53" s="122"/>
      <c r="EU53" s="122"/>
      <c r="EV53" s="122"/>
      <c r="EW53" s="122"/>
      <c r="EX53" s="122"/>
      <c r="EY53" s="122"/>
      <c r="EZ53" s="122"/>
      <c r="FA53" s="122"/>
      <c r="FB53" s="122"/>
      <c r="FC53" s="122"/>
      <c r="FD53" s="122"/>
      <c r="FE53" s="122"/>
      <c r="FF53" s="122"/>
      <c r="FG53" s="122"/>
      <c r="FH53" s="122"/>
      <c r="FI53" s="122"/>
      <c r="FJ53" s="122"/>
      <c r="FK53" s="122"/>
      <c r="FL53" s="122"/>
      <c r="FM53" s="122"/>
      <c r="FN53" s="122"/>
      <c r="FO53" s="122"/>
      <c r="FP53" s="122"/>
      <c r="FQ53" s="122"/>
      <c r="FR53" s="122"/>
      <c r="FS53" s="122"/>
      <c r="FT53" s="122"/>
      <c r="FU53" s="122"/>
      <c r="FV53" s="122"/>
      <c r="FW53" s="122"/>
      <c r="FX53" s="122"/>
      <c r="FY53" s="122"/>
      <c r="FZ53" s="122"/>
      <c r="GA53" s="122"/>
      <c r="GB53" s="122"/>
      <c r="GC53" s="122"/>
      <c r="GD53" s="122"/>
      <c r="GE53" s="122"/>
      <c r="GF53" s="122"/>
      <c r="GG53" s="122"/>
      <c r="GH53" s="122"/>
      <c r="GI53" s="122"/>
      <c r="GJ53" s="122"/>
      <c r="GK53" s="122"/>
      <c r="GL53" s="122"/>
      <c r="GM53" s="122"/>
      <c r="GN53" s="122"/>
      <c r="GO53" s="122"/>
      <c r="GP53" s="122"/>
      <c r="GQ53" s="122"/>
      <c r="GR53" s="122"/>
      <c r="GS53" s="122"/>
      <c r="GT53" s="122"/>
      <c r="GU53" s="122"/>
      <c r="GV53" s="122"/>
      <c r="GW53" s="122"/>
      <c r="GX53" s="122"/>
      <c r="GY53" s="122"/>
      <c r="GZ53" s="122"/>
      <c r="HA53" s="122"/>
      <c r="HB53" s="122"/>
      <c r="HC53" s="122"/>
      <c r="HD53" s="122"/>
      <c r="HE53" s="122"/>
      <c r="HF53" s="122"/>
      <c r="HG53" s="122"/>
      <c r="HH53" s="122"/>
      <c r="HI53" s="122"/>
      <c r="HJ53" s="122"/>
      <c r="HK53" s="122"/>
      <c r="HL53" s="122"/>
      <c r="HM53" s="122"/>
      <c r="HN53" s="122"/>
      <c r="HO53" s="122"/>
      <c r="HP53" s="122"/>
      <c r="HQ53" s="122"/>
      <c r="HR53" s="122"/>
      <c r="HS53" s="122"/>
      <c r="HT53" s="122"/>
      <c r="HU53" s="122"/>
      <c r="HV53" s="122"/>
      <c r="HW53" s="122"/>
      <c r="HX53" s="122"/>
      <c r="HY53" s="122"/>
      <c r="HZ53" s="122"/>
      <c r="IA53" s="122"/>
      <c r="IB53" s="122"/>
      <c r="IC53" s="122"/>
      <c r="ID53" s="122"/>
      <c r="IE53" s="122"/>
      <c r="IF53" s="122"/>
      <c r="IG53" s="122"/>
      <c r="IH53" s="122"/>
      <c r="II53" s="122"/>
      <c r="IJ53" s="122"/>
      <c r="IK53" s="122"/>
      <c r="IL53" s="122"/>
      <c r="IM53" s="122"/>
      <c r="IN53" s="122"/>
      <c r="IO53" s="122"/>
      <c r="IP53" s="122"/>
      <c r="IQ53" s="122"/>
      <c r="IR53" s="122"/>
      <c r="IS53" s="122"/>
      <c r="IT53" s="122"/>
      <c r="IU53" s="122"/>
      <c r="IV53" s="122"/>
      <c r="IW53" s="122"/>
      <c r="IX53" s="122"/>
      <c r="IY53" s="122"/>
      <c r="IZ53" s="122"/>
      <c r="JA53" s="122"/>
      <c r="JB53" s="122"/>
      <c r="JC53" s="122"/>
      <c r="JD53" s="122"/>
      <c r="JE53" s="122"/>
      <c r="JF53" s="122"/>
      <c r="JG53" s="122"/>
      <c r="JH53" s="122"/>
      <c r="JI53" s="122"/>
      <c r="JJ53" s="122"/>
      <c r="JK53" s="122"/>
      <c r="JL53" s="122"/>
      <c r="JM53" s="122"/>
      <c r="JN53" s="122"/>
      <c r="JO53" s="122"/>
      <c r="JP53" s="122"/>
      <c r="JQ53" s="122"/>
      <c r="JR53" s="122"/>
      <c r="JS53" s="122"/>
      <c r="JT53" s="122"/>
      <c r="JU53" s="122"/>
      <c r="JV53" s="122"/>
      <c r="JW53" s="122"/>
      <c r="JX53" s="122"/>
      <c r="JY53" s="122"/>
      <c r="JZ53" s="122"/>
      <c r="KA53" s="122"/>
      <c r="KB53" s="122"/>
      <c r="KC53" s="122"/>
      <c r="KD53" s="122"/>
      <c r="KE53" s="122"/>
      <c r="KF53" s="122"/>
      <c r="KG53" s="122"/>
      <c r="KH53" s="122"/>
      <c r="KI53" s="122"/>
      <c r="KJ53" s="122"/>
      <c r="KK53" s="122"/>
      <c r="KL53" s="122"/>
      <c r="KM53" s="122"/>
      <c r="KN53" s="122"/>
      <c r="KO53" s="122"/>
      <c r="KP53" s="122"/>
      <c r="KQ53" s="122"/>
      <c r="KR53" s="122"/>
      <c r="KS53" s="122"/>
      <c r="KT53" s="122"/>
      <c r="KU53" s="122"/>
      <c r="KV53" s="122"/>
      <c r="KW53" s="122"/>
      <c r="KX53" s="122"/>
      <c r="KY53" s="122"/>
      <c r="KZ53" s="122"/>
      <c r="LA53" s="122"/>
      <c r="LB53" s="122"/>
      <c r="LC53" s="122"/>
      <c r="LD53" s="122"/>
      <c r="LE53" s="122"/>
      <c r="LF53" s="122"/>
      <c r="LG53" s="122"/>
      <c r="LH53" s="122"/>
      <c r="LI53" s="122"/>
      <c r="LJ53" s="122"/>
      <c r="LK53" s="122"/>
      <c r="LL53" s="122"/>
      <c r="LM53" s="122"/>
      <c r="LN53" s="122"/>
      <c r="LO53" s="122"/>
      <c r="LP53" s="122"/>
      <c r="LQ53" s="122"/>
      <c r="LR53" s="122"/>
      <c r="LS53" s="122"/>
      <c r="LT53" s="122"/>
      <c r="LU53" s="122"/>
      <c r="LV53" s="122"/>
      <c r="LW53" s="122"/>
      <c r="LX53" s="122"/>
      <c r="LY53" s="122"/>
      <c r="LZ53" s="122"/>
      <c r="MA53" s="122"/>
      <c r="MB53" s="122"/>
      <c r="MC53" s="122"/>
      <c r="MD53" s="122"/>
      <c r="ME53" s="122"/>
      <c r="MF53" s="122"/>
      <c r="MG53" s="122"/>
      <c r="MH53" s="122"/>
      <c r="MI53" s="122"/>
      <c r="MJ53" s="122"/>
      <c r="MK53" s="122"/>
      <c r="ML53" s="122"/>
      <c r="MM53" s="122"/>
      <c r="MN53" s="122"/>
      <c r="MO53" s="122"/>
      <c r="MP53" s="122"/>
      <c r="MQ53" s="122"/>
      <c r="MR53" s="122"/>
      <c r="MS53" s="122"/>
      <c r="MT53" s="122"/>
      <c r="MU53" s="122"/>
      <c r="MV53" s="122"/>
      <c r="MW53" s="122"/>
      <c r="MX53" s="122"/>
      <c r="MY53" s="122"/>
      <c r="MZ53" s="122"/>
      <c r="NA53" s="122"/>
      <c r="NB53" s="122"/>
      <c r="NC53" s="122"/>
      <c r="ND53" s="122"/>
      <c r="NE53" s="122"/>
      <c r="NF53" s="122"/>
      <c r="NG53" s="122"/>
      <c r="NH53" s="122"/>
      <c r="NI53" s="122"/>
      <c r="NJ53" s="122"/>
      <c r="NK53" s="122"/>
      <c r="NL53" s="122"/>
      <c r="NM53" s="122"/>
      <c r="NN53" s="122"/>
      <c r="NO53" s="122"/>
      <c r="NP53" s="122"/>
      <c r="NQ53" s="122"/>
      <c r="NR53" s="122"/>
      <c r="NS53" s="122"/>
      <c r="NT53" s="122"/>
      <c r="NU53" s="122"/>
      <c r="NV53" s="122"/>
      <c r="NW53" s="122"/>
      <c r="NX53" s="122"/>
      <c r="NY53" s="122"/>
      <c r="NZ53" s="122"/>
      <c r="OA53" s="122"/>
      <c r="OB53" s="122"/>
      <c r="OC53" s="122"/>
      <c r="OD53" s="122"/>
      <c r="OE53" s="122"/>
      <c r="OF53" s="122"/>
      <c r="OG53" s="122"/>
      <c r="OH53" s="122"/>
      <c r="OI53" s="122"/>
      <c r="OJ53" s="122"/>
      <c r="OK53" s="122"/>
      <c r="OL53" s="122"/>
      <c r="OM53" s="122"/>
      <c r="ON53" s="122"/>
      <c r="OO53" s="122"/>
      <c r="OP53" s="122"/>
      <c r="OQ53" s="122"/>
      <c r="OR53" s="122"/>
      <c r="OS53" s="122"/>
      <c r="OT53" s="122"/>
      <c r="OU53" s="122"/>
      <c r="OV53" s="122"/>
      <c r="OW53" s="122"/>
      <c r="OX53" s="122"/>
      <c r="OY53" s="122"/>
      <c r="OZ53" s="122"/>
      <c r="PA53" s="122"/>
      <c r="PB53" s="122"/>
      <c r="PC53" s="122"/>
      <c r="PD53" s="122"/>
      <c r="PE53" s="122"/>
      <c r="PF53" s="122"/>
      <c r="PG53" s="122"/>
      <c r="PH53" s="122"/>
      <c r="PI53" s="122"/>
      <c r="PJ53" s="122"/>
      <c r="PK53" s="122"/>
      <c r="PL53" s="122"/>
      <c r="PM53" s="122"/>
      <c r="PN53" s="122"/>
      <c r="PO53" s="122"/>
      <c r="PP53" s="122"/>
      <c r="PQ53" s="122"/>
      <c r="PR53" s="122"/>
      <c r="PS53" s="122"/>
      <c r="PT53" s="122"/>
      <c r="PU53" s="122"/>
      <c r="PV53" s="122"/>
      <c r="PW53" s="122"/>
      <c r="PX53" s="122"/>
      <c r="PY53" s="122"/>
      <c r="PZ53" s="122"/>
      <c r="QA53" s="122"/>
      <c r="QB53" s="122"/>
      <c r="QC53" s="122"/>
      <c r="QD53" s="122"/>
      <c r="QE53" s="122"/>
      <c r="QF53" s="122"/>
      <c r="QG53" s="122"/>
      <c r="QH53" s="122"/>
      <c r="QI53" s="122"/>
      <c r="QJ53" s="122"/>
      <c r="QK53" s="122"/>
      <c r="QL53" s="122"/>
      <c r="QM53" s="122"/>
      <c r="QN53" s="122"/>
      <c r="QO53" s="122"/>
      <c r="QP53" s="122"/>
      <c r="QQ53" s="122"/>
      <c r="QR53" s="122"/>
      <c r="QS53" s="122"/>
      <c r="QT53" s="122"/>
      <c r="QU53" s="122"/>
      <c r="QV53" s="122"/>
      <c r="QW53" s="122"/>
      <c r="QX53" s="122"/>
      <c r="QY53" s="122"/>
      <c r="QZ53" s="122"/>
      <c r="RA53" s="122"/>
      <c r="RB53" s="122"/>
      <c r="RC53" s="122"/>
      <c r="RD53" s="122"/>
      <c r="RE53" s="122"/>
      <c r="RF53" s="122"/>
      <c r="RG53" s="122"/>
      <c r="RH53" s="122"/>
      <c r="RI53" s="122"/>
      <c r="RJ53" s="122"/>
      <c r="RK53" s="122"/>
      <c r="RL53" s="122"/>
      <c r="RM53" s="122"/>
      <c r="RN53" s="122"/>
      <c r="RO53" s="122"/>
      <c r="RP53" s="122"/>
      <c r="RQ53" s="122"/>
      <c r="RR53" s="122"/>
      <c r="RS53" s="122"/>
      <c r="RT53" s="122"/>
      <c r="RU53" s="122"/>
      <c r="RV53" s="122"/>
      <c r="RW53" s="122"/>
      <c r="RX53" s="122"/>
      <c r="RY53" s="122"/>
      <c r="RZ53" s="122"/>
      <c r="SA53" s="122"/>
      <c r="SB53" s="122"/>
      <c r="SC53" s="122"/>
      <c r="SD53" s="122"/>
      <c r="SE53" s="122"/>
      <c r="SF53" s="122"/>
    </row>
    <row r="54" spans="1:500" s="657" customFormat="1" ht="43" customHeight="1" x14ac:dyDescent="0.25">
      <c r="A54" s="593" t="s">
        <v>3446</v>
      </c>
      <c r="B54" s="593" t="s">
        <v>3456</v>
      </c>
      <c r="C54" s="594" t="str">
        <f t="shared" ref="C54:C55" si="12">CONCATENATE(A54," ",B54)</f>
        <v>FIAT 500 electric Cabrio (La Prima)</v>
      </c>
      <c r="D54" s="593" t="s">
        <v>2741</v>
      </c>
      <c r="E54" s="593">
        <v>87</v>
      </c>
      <c r="F54" s="593" t="s">
        <v>2521</v>
      </c>
      <c r="G54" s="642">
        <v>14.5</v>
      </c>
      <c r="H54" s="593"/>
      <c r="I54" s="593">
        <v>0</v>
      </c>
      <c r="J54" s="595"/>
      <c r="K54" s="595"/>
      <c r="L54" s="595">
        <v>38490</v>
      </c>
      <c r="M54" s="596"/>
      <c r="N54" s="643" t="s">
        <v>2875</v>
      </c>
      <c r="O54" s="659"/>
      <c r="P54" s="603"/>
      <c r="Q54" s="603"/>
      <c r="R54" s="603"/>
      <c r="S54" s="603"/>
      <c r="T54" s="603"/>
      <c r="U54" s="603"/>
      <c r="V54" s="603"/>
      <c r="W54" s="603"/>
      <c r="X54" s="603"/>
      <c r="Y54" s="603"/>
      <c r="Z54" s="603"/>
      <c r="AA54" s="603"/>
      <c r="AB54" s="603"/>
      <c r="AC54" s="603"/>
      <c r="AD54" s="603"/>
      <c r="AE54" s="611"/>
      <c r="AF54" s="611"/>
      <c r="AG54" s="609"/>
      <c r="AH54" s="611"/>
      <c r="AI54" s="611"/>
      <c r="AJ54" s="611"/>
      <c r="AK54" s="611"/>
      <c r="AL54" s="611"/>
      <c r="AM54" s="119"/>
      <c r="AN54" s="119"/>
      <c r="AO54" s="119"/>
      <c r="AP54" s="120"/>
      <c r="AQ54" s="120"/>
      <c r="AR54" s="120"/>
      <c r="AS54" s="120"/>
      <c r="AT54" s="120"/>
      <c r="AU54" s="120"/>
      <c r="AV54" s="120"/>
      <c r="AW54" s="120"/>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2"/>
      <c r="EI54" s="122"/>
      <c r="EJ54" s="122"/>
      <c r="EK54" s="122"/>
      <c r="EL54" s="122"/>
      <c r="EM54" s="122"/>
      <c r="EN54" s="122"/>
      <c r="EO54" s="122"/>
      <c r="EP54" s="122"/>
      <c r="EQ54" s="122"/>
      <c r="ER54" s="122"/>
      <c r="ES54" s="122"/>
      <c r="ET54" s="122"/>
      <c r="EU54" s="122"/>
      <c r="EV54" s="122"/>
      <c r="EW54" s="122"/>
      <c r="EX54" s="122"/>
      <c r="EY54" s="122"/>
      <c r="EZ54" s="122"/>
      <c r="FA54" s="122"/>
      <c r="FB54" s="122"/>
      <c r="FC54" s="122"/>
      <c r="FD54" s="122"/>
      <c r="FE54" s="122"/>
      <c r="FF54" s="122"/>
      <c r="FG54" s="122"/>
      <c r="FH54" s="122"/>
      <c r="FI54" s="122"/>
      <c r="FJ54" s="122"/>
      <c r="FK54" s="122"/>
      <c r="FL54" s="122"/>
      <c r="FM54" s="122"/>
      <c r="FN54" s="122"/>
      <c r="FO54" s="122"/>
      <c r="FP54" s="122"/>
      <c r="FQ54" s="122"/>
      <c r="FR54" s="122"/>
      <c r="FS54" s="122"/>
      <c r="FT54" s="122"/>
      <c r="FU54" s="122"/>
      <c r="FV54" s="122"/>
      <c r="FW54" s="122"/>
      <c r="FX54" s="122"/>
      <c r="FY54" s="122"/>
      <c r="FZ54" s="122"/>
      <c r="GA54" s="122"/>
      <c r="GB54" s="122"/>
      <c r="GC54" s="122"/>
      <c r="GD54" s="122"/>
      <c r="GE54" s="122"/>
      <c r="GF54" s="122"/>
      <c r="GG54" s="122"/>
      <c r="GH54" s="122"/>
      <c r="GI54" s="122"/>
      <c r="GJ54" s="122"/>
      <c r="GK54" s="122"/>
      <c r="GL54" s="122"/>
      <c r="GM54" s="122"/>
      <c r="GN54" s="122"/>
      <c r="GO54" s="122"/>
      <c r="GP54" s="122"/>
      <c r="GQ54" s="122"/>
      <c r="GR54" s="122"/>
      <c r="GS54" s="122"/>
      <c r="GT54" s="122"/>
      <c r="GU54" s="122"/>
      <c r="GV54" s="122"/>
      <c r="GW54" s="122"/>
      <c r="GX54" s="122"/>
      <c r="GY54" s="122"/>
      <c r="GZ54" s="122"/>
      <c r="HA54" s="122"/>
      <c r="HB54" s="122"/>
      <c r="HC54" s="122"/>
      <c r="HD54" s="122"/>
      <c r="HE54" s="122"/>
      <c r="HF54" s="122"/>
      <c r="HG54" s="122"/>
      <c r="HH54" s="122"/>
      <c r="HI54" s="122"/>
      <c r="HJ54" s="122"/>
      <c r="HK54" s="122"/>
      <c r="HL54" s="122"/>
      <c r="HM54" s="122"/>
      <c r="HN54" s="122"/>
      <c r="HO54" s="122"/>
      <c r="HP54" s="122"/>
      <c r="HQ54" s="122"/>
      <c r="HR54" s="122"/>
      <c r="HS54" s="122"/>
      <c r="HT54" s="122"/>
      <c r="HU54" s="122"/>
      <c r="HV54" s="122"/>
      <c r="HW54" s="122"/>
      <c r="HX54" s="122"/>
      <c r="HY54" s="122"/>
      <c r="HZ54" s="122"/>
      <c r="IA54" s="122"/>
      <c r="IB54" s="122"/>
      <c r="IC54" s="122"/>
      <c r="ID54" s="122"/>
      <c r="IE54" s="122"/>
      <c r="IF54" s="122"/>
      <c r="IG54" s="122"/>
      <c r="IH54" s="122"/>
      <c r="II54" s="122"/>
      <c r="IJ54" s="122"/>
      <c r="IK54" s="122"/>
      <c r="IL54" s="122"/>
      <c r="IM54" s="122"/>
      <c r="IN54" s="122"/>
      <c r="IO54" s="122"/>
      <c r="IP54" s="122"/>
      <c r="IQ54" s="122"/>
      <c r="IR54" s="122"/>
      <c r="IS54" s="122"/>
      <c r="IT54" s="122"/>
      <c r="IU54" s="122"/>
      <c r="IV54" s="122"/>
      <c r="IW54" s="122"/>
      <c r="IX54" s="122"/>
      <c r="IY54" s="122"/>
      <c r="IZ54" s="122"/>
      <c r="JA54" s="122"/>
      <c r="JB54" s="122"/>
      <c r="JC54" s="122"/>
      <c r="JD54" s="122"/>
      <c r="JE54" s="122"/>
      <c r="JF54" s="122"/>
      <c r="JG54" s="122"/>
      <c r="JH54" s="122"/>
      <c r="JI54" s="122"/>
      <c r="JJ54" s="122"/>
      <c r="JK54" s="122"/>
      <c r="JL54" s="122"/>
      <c r="JM54" s="122"/>
      <c r="JN54" s="122"/>
      <c r="JO54" s="122"/>
      <c r="JP54" s="122"/>
      <c r="JQ54" s="122"/>
      <c r="JR54" s="122"/>
      <c r="JS54" s="122"/>
      <c r="JT54" s="122"/>
      <c r="JU54" s="122"/>
      <c r="JV54" s="122"/>
      <c r="JW54" s="122"/>
      <c r="JX54" s="122"/>
      <c r="JY54" s="122"/>
      <c r="JZ54" s="122"/>
      <c r="KA54" s="122"/>
      <c r="KB54" s="122"/>
      <c r="KC54" s="122"/>
      <c r="KD54" s="122"/>
      <c r="KE54" s="122"/>
      <c r="KF54" s="122"/>
      <c r="KG54" s="122"/>
      <c r="KH54" s="122"/>
      <c r="KI54" s="122"/>
      <c r="KJ54" s="122"/>
      <c r="KK54" s="122"/>
      <c r="KL54" s="122"/>
      <c r="KM54" s="122"/>
      <c r="KN54" s="122"/>
      <c r="KO54" s="122"/>
      <c r="KP54" s="122"/>
      <c r="KQ54" s="122"/>
      <c r="KR54" s="122"/>
      <c r="KS54" s="122"/>
      <c r="KT54" s="122"/>
      <c r="KU54" s="122"/>
      <c r="KV54" s="122"/>
      <c r="KW54" s="122"/>
      <c r="KX54" s="122"/>
      <c r="KY54" s="122"/>
      <c r="KZ54" s="122"/>
      <c r="LA54" s="122"/>
      <c r="LB54" s="122"/>
      <c r="LC54" s="122"/>
      <c r="LD54" s="122"/>
      <c r="LE54" s="122"/>
      <c r="LF54" s="122"/>
      <c r="LG54" s="122"/>
      <c r="LH54" s="122"/>
      <c r="LI54" s="122"/>
      <c r="LJ54" s="122"/>
      <c r="LK54" s="122"/>
      <c r="LL54" s="122"/>
      <c r="LM54" s="122"/>
      <c r="LN54" s="122"/>
      <c r="LO54" s="122"/>
      <c r="LP54" s="122"/>
      <c r="LQ54" s="122"/>
      <c r="LR54" s="122"/>
      <c r="LS54" s="122"/>
      <c r="LT54" s="122"/>
      <c r="LU54" s="122"/>
      <c r="LV54" s="122"/>
      <c r="LW54" s="122"/>
      <c r="LX54" s="122"/>
      <c r="LY54" s="122"/>
      <c r="LZ54" s="122"/>
      <c r="MA54" s="122"/>
      <c r="MB54" s="122"/>
      <c r="MC54" s="122"/>
      <c r="MD54" s="122"/>
      <c r="ME54" s="122"/>
      <c r="MF54" s="122"/>
      <c r="MG54" s="122"/>
      <c r="MH54" s="122"/>
      <c r="MI54" s="122"/>
      <c r="MJ54" s="122"/>
      <c r="MK54" s="122"/>
      <c r="ML54" s="122"/>
      <c r="MM54" s="122"/>
      <c r="MN54" s="122"/>
      <c r="MO54" s="122"/>
      <c r="MP54" s="122"/>
      <c r="MQ54" s="122"/>
      <c r="MR54" s="122"/>
      <c r="MS54" s="122"/>
      <c r="MT54" s="122"/>
      <c r="MU54" s="122"/>
      <c r="MV54" s="122"/>
      <c r="MW54" s="122"/>
      <c r="MX54" s="122"/>
      <c r="MY54" s="122"/>
      <c r="MZ54" s="122"/>
      <c r="NA54" s="122"/>
      <c r="NB54" s="122"/>
      <c r="NC54" s="122"/>
      <c r="ND54" s="122"/>
      <c r="NE54" s="122"/>
      <c r="NF54" s="122"/>
      <c r="NG54" s="122"/>
      <c r="NH54" s="122"/>
      <c r="NI54" s="122"/>
      <c r="NJ54" s="122"/>
      <c r="NK54" s="122"/>
      <c r="NL54" s="122"/>
      <c r="NM54" s="122"/>
      <c r="NN54" s="122"/>
      <c r="NO54" s="122"/>
      <c r="NP54" s="122"/>
      <c r="NQ54" s="122"/>
      <c r="NR54" s="122"/>
      <c r="NS54" s="122"/>
      <c r="NT54" s="122"/>
      <c r="NU54" s="122"/>
      <c r="NV54" s="122"/>
      <c r="NW54" s="122"/>
      <c r="NX54" s="122"/>
      <c r="NY54" s="122"/>
      <c r="NZ54" s="122"/>
      <c r="OA54" s="122"/>
      <c r="OB54" s="122"/>
      <c r="OC54" s="122"/>
      <c r="OD54" s="122"/>
      <c r="OE54" s="122"/>
      <c r="OF54" s="122"/>
      <c r="OG54" s="122"/>
      <c r="OH54" s="122"/>
      <c r="OI54" s="122"/>
      <c r="OJ54" s="122"/>
      <c r="OK54" s="122"/>
      <c r="OL54" s="122"/>
      <c r="OM54" s="122"/>
      <c r="ON54" s="122"/>
      <c r="OO54" s="122"/>
      <c r="OP54" s="122"/>
      <c r="OQ54" s="122"/>
      <c r="OR54" s="122"/>
      <c r="OS54" s="122"/>
      <c r="OT54" s="122"/>
      <c r="OU54" s="122"/>
      <c r="OV54" s="122"/>
      <c r="OW54" s="122"/>
      <c r="OX54" s="122"/>
      <c r="OY54" s="122"/>
      <c r="OZ54" s="122"/>
      <c r="PA54" s="122"/>
      <c r="PB54" s="122"/>
      <c r="PC54" s="122"/>
      <c r="PD54" s="122"/>
      <c r="PE54" s="122"/>
      <c r="PF54" s="122"/>
      <c r="PG54" s="122"/>
      <c r="PH54" s="122"/>
      <c r="PI54" s="122"/>
      <c r="PJ54" s="122"/>
      <c r="PK54" s="122"/>
      <c r="PL54" s="122"/>
      <c r="PM54" s="122"/>
      <c r="PN54" s="122"/>
      <c r="PO54" s="122"/>
      <c r="PP54" s="122"/>
      <c r="PQ54" s="122"/>
      <c r="PR54" s="122"/>
      <c r="PS54" s="122"/>
      <c r="PT54" s="122"/>
      <c r="PU54" s="122"/>
      <c r="PV54" s="122"/>
      <c r="PW54" s="122"/>
      <c r="PX54" s="122"/>
      <c r="PY54" s="122"/>
      <c r="PZ54" s="122"/>
      <c r="QA54" s="122"/>
      <c r="QB54" s="122"/>
      <c r="QC54" s="122"/>
      <c r="QD54" s="122"/>
      <c r="QE54" s="122"/>
      <c r="QF54" s="122"/>
      <c r="QG54" s="122"/>
      <c r="QH54" s="122"/>
      <c r="QI54" s="122"/>
      <c r="QJ54" s="122"/>
      <c r="QK54" s="122"/>
      <c r="QL54" s="122"/>
      <c r="QM54" s="122"/>
      <c r="QN54" s="122"/>
      <c r="QO54" s="122"/>
      <c r="QP54" s="122"/>
      <c r="QQ54" s="122"/>
      <c r="QR54" s="122"/>
      <c r="QS54" s="122"/>
      <c r="QT54" s="122"/>
      <c r="QU54" s="122"/>
      <c r="QV54" s="122"/>
      <c r="QW54" s="122"/>
      <c r="QX54" s="122"/>
      <c r="QY54" s="122"/>
      <c r="QZ54" s="122"/>
      <c r="RA54" s="122"/>
      <c r="RB54" s="122"/>
      <c r="RC54" s="122"/>
      <c r="RD54" s="122"/>
      <c r="RE54" s="122"/>
      <c r="RF54" s="122"/>
      <c r="RG54" s="122"/>
      <c r="RH54" s="122"/>
      <c r="RI54" s="122"/>
      <c r="RJ54" s="122"/>
      <c r="RK54" s="122"/>
      <c r="RL54" s="122"/>
      <c r="RM54" s="122"/>
      <c r="RN54" s="122"/>
      <c r="RO54" s="122"/>
      <c r="RP54" s="122"/>
      <c r="RQ54" s="122"/>
      <c r="RR54" s="122"/>
      <c r="RS54" s="122"/>
      <c r="RT54" s="122"/>
      <c r="RU54" s="122"/>
      <c r="RV54" s="122"/>
      <c r="RW54" s="122"/>
      <c r="RX54" s="122"/>
      <c r="RY54" s="122"/>
      <c r="RZ54" s="122"/>
      <c r="SA54" s="122"/>
      <c r="SB54" s="122"/>
      <c r="SC54" s="122"/>
      <c r="SD54" s="122"/>
      <c r="SE54" s="122"/>
      <c r="SF54" s="122"/>
    </row>
    <row r="55" spans="1:500" s="657" customFormat="1" ht="43" customHeight="1" x14ac:dyDescent="0.25">
      <c r="A55" s="593" t="s">
        <v>2596</v>
      </c>
      <c r="B55" s="593" t="s">
        <v>3457</v>
      </c>
      <c r="C55" s="594" t="str">
        <f t="shared" si="12"/>
        <v>FORD Mustang Mach-E (Batterie Standard Range)</v>
      </c>
      <c r="D55" s="593" t="s">
        <v>2741</v>
      </c>
      <c r="E55" s="593">
        <v>198</v>
      </c>
      <c r="F55" s="593" t="s">
        <v>2521</v>
      </c>
      <c r="G55" s="642">
        <v>17.2</v>
      </c>
      <c r="H55" s="593"/>
      <c r="I55" s="593">
        <v>0</v>
      </c>
      <c r="J55" s="595"/>
      <c r="K55" s="595"/>
      <c r="L55" s="595">
        <v>46900</v>
      </c>
      <c r="M55" s="596"/>
      <c r="N55" s="643"/>
      <c r="O55" s="659"/>
      <c r="P55" s="603"/>
      <c r="Q55" s="603"/>
      <c r="R55" s="603"/>
      <c r="S55" s="603"/>
      <c r="T55" s="603"/>
      <c r="U55" s="603"/>
      <c r="V55" s="603"/>
      <c r="W55" s="603"/>
      <c r="X55" s="603"/>
      <c r="Y55" s="603"/>
      <c r="Z55" s="603"/>
      <c r="AA55" s="603"/>
      <c r="AB55" s="603"/>
      <c r="AC55" s="603"/>
      <c r="AD55" s="603"/>
      <c r="AE55" s="611"/>
      <c r="AF55" s="611"/>
      <c r="AG55" s="609"/>
      <c r="AH55" s="611"/>
      <c r="AI55" s="611"/>
      <c r="AJ55" s="611"/>
      <c r="AK55" s="611"/>
      <c r="AL55" s="611"/>
      <c r="AM55" s="119"/>
      <c r="AN55" s="119"/>
      <c r="AO55" s="119"/>
      <c r="AP55" s="120"/>
      <c r="AQ55" s="120"/>
      <c r="AR55" s="120"/>
      <c r="AS55" s="120"/>
      <c r="AT55" s="120"/>
      <c r="AU55" s="120"/>
      <c r="AV55" s="120"/>
      <c r="AW55" s="120"/>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2"/>
      <c r="EI55" s="122"/>
      <c r="EJ55" s="122"/>
      <c r="EK55" s="122"/>
      <c r="EL55" s="122"/>
      <c r="EM55" s="122"/>
      <c r="EN55" s="122"/>
      <c r="EO55" s="122"/>
      <c r="EP55" s="122"/>
      <c r="EQ55" s="122"/>
      <c r="ER55" s="122"/>
      <c r="ES55" s="122"/>
      <c r="ET55" s="122"/>
      <c r="EU55" s="122"/>
      <c r="EV55" s="122"/>
      <c r="EW55" s="122"/>
      <c r="EX55" s="122"/>
      <c r="EY55" s="122"/>
      <c r="EZ55" s="122"/>
      <c r="FA55" s="122"/>
      <c r="FB55" s="122"/>
      <c r="FC55" s="122"/>
      <c r="FD55" s="122"/>
      <c r="FE55" s="122"/>
      <c r="FF55" s="122"/>
      <c r="FG55" s="122"/>
      <c r="FH55" s="122"/>
      <c r="FI55" s="122"/>
      <c r="FJ55" s="122"/>
      <c r="FK55" s="122"/>
      <c r="FL55" s="122"/>
      <c r="FM55" s="122"/>
      <c r="FN55" s="122"/>
      <c r="FO55" s="122"/>
      <c r="FP55" s="122"/>
      <c r="FQ55" s="122"/>
      <c r="FR55" s="122"/>
      <c r="FS55" s="122"/>
      <c r="FT55" s="122"/>
      <c r="FU55" s="122"/>
      <c r="FV55" s="122"/>
      <c r="FW55" s="122"/>
      <c r="FX55" s="122"/>
      <c r="FY55" s="122"/>
      <c r="FZ55" s="122"/>
      <c r="GA55" s="122"/>
      <c r="GB55" s="122"/>
      <c r="GC55" s="122"/>
      <c r="GD55" s="122"/>
      <c r="GE55" s="122"/>
      <c r="GF55" s="122"/>
      <c r="GG55" s="122"/>
      <c r="GH55" s="122"/>
      <c r="GI55" s="122"/>
      <c r="GJ55" s="122"/>
      <c r="GK55" s="122"/>
      <c r="GL55" s="122"/>
      <c r="GM55" s="122"/>
      <c r="GN55" s="122"/>
      <c r="GO55" s="122"/>
      <c r="GP55" s="122"/>
      <c r="GQ55" s="122"/>
      <c r="GR55" s="122"/>
      <c r="GS55" s="122"/>
      <c r="GT55" s="122"/>
      <c r="GU55" s="122"/>
      <c r="GV55" s="122"/>
      <c r="GW55" s="122"/>
      <c r="GX55" s="122"/>
      <c r="GY55" s="122"/>
      <c r="GZ55" s="122"/>
      <c r="HA55" s="122"/>
      <c r="HB55" s="122"/>
      <c r="HC55" s="122"/>
      <c r="HD55" s="122"/>
      <c r="HE55" s="122"/>
      <c r="HF55" s="122"/>
      <c r="HG55" s="122"/>
      <c r="HH55" s="122"/>
      <c r="HI55" s="122"/>
      <c r="HJ55" s="122"/>
      <c r="HK55" s="122"/>
      <c r="HL55" s="122"/>
      <c r="HM55" s="122"/>
      <c r="HN55" s="122"/>
      <c r="HO55" s="122"/>
      <c r="HP55" s="122"/>
      <c r="HQ55" s="122"/>
      <c r="HR55" s="122"/>
      <c r="HS55" s="122"/>
      <c r="HT55" s="122"/>
      <c r="HU55" s="122"/>
      <c r="HV55" s="122"/>
      <c r="HW55" s="122"/>
      <c r="HX55" s="122"/>
      <c r="HY55" s="122"/>
      <c r="HZ55" s="122"/>
      <c r="IA55" s="122"/>
      <c r="IB55" s="122"/>
      <c r="IC55" s="122"/>
      <c r="ID55" s="122"/>
      <c r="IE55" s="122"/>
      <c r="IF55" s="122"/>
      <c r="IG55" s="122"/>
      <c r="IH55" s="122"/>
      <c r="II55" s="122"/>
      <c r="IJ55" s="122"/>
      <c r="IK55" s="122"/>
      <c r="IL55" s="122"/>
      <c r="IM55" s="122"/>
      <c r="IN55" s="122"/>
      <c r="IO55" s="122"/>
      <c r="IP55" s="122"/>
      <c r="IQ55" s="122"/>
      <c r="IR55" s="122"/>
      <c r="IS55" s="122"/>
      <c r="IT55" s="122"/>
      <c r="IU55" s="122"/>
      <c r="IV55" s="122"/>
      <c r="IW55" s="122"/>
      <c r="IX55" s="122"/>
      <c r="IY55" s="122"/>
      <c r="IZ55" s="122"/>
      <c r="JA55" s="122"/>
      <c r="JB55" s="122"/>
      <c r="JC55" s="122"/>
      <c r="JD55" s="122"/>
      <c r="JE55" s="122"/>
      <c r="JF55" s="122"/>
      <c r="JG55" s="122"/>
      <c r="JH55" s="122"/>
      <c r="JI55" s="122"/>
      <c r="JJ55" s="122"/>
      <c r="JK55" s="122"/>
      <c r="JL55" s="122"/>
      <c r="JM55" s="122"/>
      <c r="JN55" s="122"/>
      <c r="JO55" s="122"/>
      <c r="JP55" s="122"/>
      <c r="JQ55" s="122"/>
      <c r="JR55" s="122"/>
      <c r="JS55" s="122"/>
      <c r="JT55" s="122"/>
      <c r="JU55" s="122"/>
      <c r="JV55" s="122"/>
      <c r="JW55" s="122"/>
      <c r="JX55" s="122"/>
      <c r="JY55" s="122"/>
      <c r="JZ55" s="122"/>
      <c r="KA55" s="122"/>
      <c r="KB55" s="122"/>
      <c r="KC55" s="122"/>
      <c r="KD55" s="122"/>
      <c r="KE55" s="122"/>
      <c r="KF55" s="122"/>
      <c r="KG55" s="122"/>
      <c r="KH55" s="122"/>
      <c r="KI55" s="122"/>
      <c r="KJ55" s="122"/>
      <c r="KK55" s="122"/>
      <c r="KL55" s="122"/>
      <c r="KM55" s="122"/>
      <c r="KN55" s="122"/>
      <c r="KO55" s="122"/>
      <c r="KP55" s="122"/>
      <c r="KQ55" s="122"/>
      <c r="KR55" s="122"/>
      <c r="KS55" s="122"/>
      <c r="KT55" s="122"/>
      <c r="KU55" s="122"/>
      <c r="KV55" s="122"/>
      <c r="KW55" s="122"/>
      <c r="KX55" s="122"/>
      <c r="KY55" s="122"/>
      <c r="KZ55" s="122"/>
      <c r="LA55" s="122"/>
      <c r="LB55" s="122"/>
      <c r="LC55" s="122"/>
      <c r="LD55" s="122"/>
      <c r="LE55" s="122"/>
      <c r="LF55" s="122"/>
      <c r="LG55" s="122"/>
      <c r="LH55" s="122"/>
      <c r="LI55" s="122"/>
      <c r="LJ55" s="122"/>
      <c r="LK55" s="122"/>
      <c r="LL55" s="122"/>
      <c r="LM55" s="122"/>
      <c r="LN55" s="122"/>
      <c r="LO55" s="122"/>
      <c r="LP55" s="122"/>
      <c r="LQ55" s="122"/>
      <c r="LR55" s="122"/>
      <c r="LS55" s="122"/>
      <c r="LT55" s="122"/>
      <c r="LU55" s="122"/>
      <c r="LV55" s="122"/>
      <c r="LW55" s="122"/>
      <c r="LX55" s="122"/>
      <c r="LY55" s="122"/>
      <c r="LZ55" s="122"/>
      <c r="MA55" s="122"/>
      <c r="MB55" s="122"/>
      <c r="MC55" s="122"/>
      <c r="MD55" s="122"/>
      <c r="ME55" s="122"/>
      <c r="MF55" s="122"/>
      <c r="MG55" s="122"/>
      <c r="MH55" s="122"/>
      <c r="MI55" s="122"/>
      <c r="MJ55" s="122"/>
      <c r="MK55" s="122"/>
      <c r="ML55" s="122"/>
      <c r="MM55" s="122"/>
      <c r="MN55" s="122"/>
      <c r="MO55" s="122"/>
      <c r="MP55" s="122"/>
      <c r="MQ55" s="122"/>
      <c r="MR55" s="122"/>
      <c r="MS55" s="122"/>
      <c r="MT55" s="122"/>
      <c r="MU55" s="122"/>
      <c r="MV55" s="122"/>
      <c r="MW55" s="122"/>
      <c r="MX55" s="122"/>
      <c r="MY55" s="122"/>
      <c r="MZ55" s="122"/>
      <c r="NA55" s="122"/>
      <c r="NB55" s="122"/>
      <c r="NC55" s="122"/>
      <c r="ND55" s="122"/>
      <c r="NE55" s="122"/>
      <c r="NF55" s="122"/>
      <c r="NG55" s="122"/>
      <c r="NH55" s="122"/>
      <c r="NI55" s="122"/>
      <c r="NJ55" s="122"/>
      <c r="NK55" s="122"/>
      <c r="NL55" s="122"/>
      <c r="NM55" s="122"/>
      <c r="NN55" s="122"/>
      <c r="NO55" s="122"/>
      <c r="NP55" s="122"/>
      <c r="NQ55" s="122"/>
      <c r="NR55" s="122"/>
      <c r="NS55" s="122"/>
      <c r="NT55" s="122"/>
      <c r="NU55" s="122"/>
      <c r="NV55" s="122"/>
      <c r="NW55" s="122"/>
      <c r="NX55" s="122"/>
      <c r="NY55" s="122"/>
      <c r="NZ55" s="122"/>
      <c r="OA55" s="122"/>
      <c r="OB55" s="122"/>
      <c r="OC55" s="122"/>
      <c r="OD55" s="122"/>
      <c r="OE55" s="122"/>
      <c r="OF55" s="122"/>
      <c r="OG55" s="122"/>
      <c r="OH55" s="122"/>
      <c r="OI55" s="122"/>
      <c r="OJ55" s="122"/>
      <c r="OK55" s="122"/>
      <c r="OL55" s="122"/>
      <c r="OM55" s="122"/>
      <c r="ON55" s="122"/>
      <c r="OO55" s="122"/>
      <c r="OP55" s="122"/>
      <c r="OQ55" s="122"/>
      <c r="OR55" s="122"/>
      <c r="OS55" s="122"/>
      <c r="OT55" s="122"/>
      <c r="OU55" s="122"/>
      <c r="OV55" s="122"/>
      <c r="OW55" s="122"/>
      <c r="OX55" s="122"/>
      <c r="OY55" s="122"/>
      <c r="OZ55" s="122"/>
      <c r="PA55" s="122"/>
      <c r="PB55" s="122"/>
      <c r="PC55" s="122"/>
      <c r="PD55" s="122"/>
      <c r="PE55" s="122"/>
      <c r="PF55" s="122"/>
      <c r="PG55" s="122"/>
      <c r="PH55" s="122"/>
      <c r="PI55" s="122"/>
      <c r="PJ55" s="122"/>
      <c r="PK55" s="122"/>
      <c r="PL55" s="122"/>
      <c r="PM55" s="122"/>
      <c r="PN55" s="122"/>
      <c r="PO55" s="122"/>
      <c r="PP55" s="122"/>
      <c r="PQ55" s="122"/>
      <c r="PR55" s="122"/>
      <c r="PS55" s="122"/>
      <c r="PT55" s="122"/>
      <c r="PU55" s="122"/>
      <c r="PV55" s="122"/>
      <c r="PW55" s="122"/>
      <c r="PX55" s="122"/>
      <c r="PY55" s="122"/>
      <c r="PZ55" s="122"/>
      <c r="QA55" s="122"/>
      <c r="QB55" s="122"/>
      <c r="QC55" s="122"/>
      <c r="QD55" s="122"/>
      <c r="QE55" s="122"/>
      <c r="QF55" s="122"/>
      <c r="QG55" s="122"/>
      <c r="QH55" s="122"/>
      <c r="QI55" s="122"/>
      <c r="QJ55" s="122"/>
      <c r="QK55" s="122"/>
      <c r="QL55" s="122"/>
      <c r="QM55" s="122"/>
      <c r="QN55" s="122"/>
      <c r="QO55" s="122"/>
      <c r="QP55" s="122"/>
      <c r="QQ55" s="122"/>
      <c r="QR55" s="122"/>
      <c r="QS55" s="122"/>
      <c r="QT55" s="122"/>
      <c r="QU55" s="122"/>
      <c r="QV55" s="122"/>
      <c r="QW55" s="122"/>
      <c r="QX55" s="122"/>
      <c r="QY55" s="122"/>
      <c r="QZ55" s="122"/>
      <c r="RA55" s="122"/>
      <c r="RB55" s="122"/>
      <c r="RC55" s="122"/>
      <c r="RD55" s="122"/>
      <c r="RE55" s="122"/>
      <c r="RF55" s="122"/>
      <c r="RG55" s="122"/>
      <c r="RH55" s="122"/>
      <c r="RI55" s="122"/>
      <c r="RJ55" s="122"/>
      <c r="RK55" s="122"/>
      <c r="RL55" s="122"/>
      <c r="RM55" s="122"/>
      <c r="RN55" s="122"/>
      <c r="RO55" s="122"/>
      <c r="RP55" s="122"/>
      <c r="RQ55" s="122"/>
      <c r="RR55" s="122"/>
      <c r="RS55" s="122"/>
      <c r="RT55" s="122"/>
      <c r="RU55" s="122"/>
      <c r="RV55" s="122"/>
      <c r="RW55" s="122"/>
      <c r="RX55" s="122"/>
      <c r="RY55" s="122"/>
      <c r="RZ55" s="122"/>
      <c r="SA55" s="122"/>
      <c r="SB55" s="122"/>
      <c r="SC55" s="122"/>
      <c r="SD55" s="122"/>
      <c r="SE55" s="122"/>
      <c r="SF55" s="122"/>
    </row>
    <row r="56" spans="1:500" s="657" customFormat="1" ht="43" customHeight="1" x14ac:dyDescent="0.25">
      <c r="A56" s="593" t="s">
        <v>2596</v>
      </c>
      <c r="B56" s="593" t="s">
        <v>3458</v>
      </c>
      <c r="C56" s="594" t="str">
        <f t="shared" ref="C56:C57" si="13">CONCATENATE(A56," ",B56)</f>
        <v>FORD Mustang Mach-E (Batterie Extended Range)</v>
      </c>
      <c r="D56" s="593" t="s">
        <v>2741</v>
      </c>
      <c r="E56" s="593">
        <v>216</v>
      </c>
      <c r="F56" s="593" t="s">
        <v>2521</v>
      </c>
      <c r="G56" s="642">
        <v>16.5</v>
      </c>
      <c r="H56" s="593"/>
      <c r="I56" s="593">
        <v>0</v>
      </c>
      <c r="J56" s="595"/>
      <c r="K56" s="595"/>
      <c r="L56" s="595">
        <v>54475</v>
      </c>
      <c r="M56" s="596"/>
      <c r="N56" s="643"/>
      <c r="O56" s="659"/>
      <c r="P56" s="603"/>
      <c r="Q56" s="603"/>
      <c r="R56" s="603"/>
      <c r="S56" s="603"/>
      <c r="T56" s="603"/>
      <c r="U56" s="603"/>
      <c r="V56" s="603"/>
      <c r="W56" s="603"/>
      <c r="X56" s="603"/>
      <c r="Y56" s="603"/>
      <c r="Z56" s="603"/>
      <c r="AA56" s="603"/>
      <c r="AB56" s="603"/>
      <c r="AC56" s="603"/>
      <c r="AD56" s="603"/>
      <c r="AE56" s="611"/>
      <c r="AF56" s="611"/>
      <c r="AG56" s="609"/>
      <c r="AH56" s="611"/>
      <c r="AI56" s="611"/>
      <c r="AJ56" s="611"/>
      <c r="AK56" s="611"/>
      <c r="AL56" s="611"/>
      <c r="AM56" s="119"/>
      <c r="AN56" s="119"/>
      <c r="AO56" s="119"/>
      <c r="AP56" s="120"/>
      <c r="AQ56" s="120"/>
      <c r="AR56" s="120"/>
      <c r="AS56" s="120"/>
      <c r="AT56" s="120"/>
      <c r="AU56" s="120"/>
      <c r="AV56" s="120"/>
      <c r="AW56" s="120"/>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2"/>
      <c r="EI56" s="122"/>
      <c r="EJ56" s="122"/>
      <c r="EK56" s="122"/>
      <c r="EL56" s="122"/>
      <c r="EM56" s="122"/>
      <c r="EN56" s="122"/>
      <c r="EO56" s="122"/>
      <c r="EP56" s="122"/>
      <c r="EQ56" s="122"/>
      <c r="ER56" s="122"/>
      <c r="ES56" s="122"/>
      <c r="ET56" s="122"/>
      <c r="EU56" s="122"/>
      <c r="EV56" s="122"/>
      <c r="EW56" s="122"/>
      <c r="EX56" s="122"/>
      <c r="EY56" s="122"/>
      <c r="EZ56" s="122"/>
      <c r="FA56" s="122"/>
      <c r="FB56" s="122"/>
      <c r="FC56" s="122"/>
      <c r="FD56" s="122"/>
      <c r="FE56" s="122"/>
      <c r="FF56" s="122"/>
      <c r="FG56" s="122"/>
      <c r="FH56" s="122"/>
      <c r="FI56" s="122"/>
      <c r="FJ56" s="122"/>
      <c r="FK56" s="122"/>
      <c r="FL56" s="122"/>
      <c r="FM56" s="122"/>
      <c r="FN56" s="122"/>
      <c r="FO56" s="122"/>
      <c r="FP56" s="122"/>
      <c r="FQ56" s="122"/>
      <c r="FR56" s="122"/>
      <c r="FS56" s="122"/>
      <c r="FT56" s="122"/>
      <c r="FU56" s="122"/>
      <c r="FV56" s="122"/>
      <c r="FW56" s="122"/>
      <c r="FX56" s="122"/>
      <c r="FY56" s="122"/>
      <c r="FZ56" s="122"/>
      <c r="GA56" s="122"/>
      <c r="GB56" s="122"/>
      <c r="GC56" s="122"/>
      <c r="GD56" s="122"/>
      <c r="GE56" s="122"/>
      <c r="GF56" s="122"/>
      <c r="GG56" s="122"/>
      <c r="GH56" s="122"/>
      <c r="GI56" s="122"/>
      <c r="GJ56" s="122"/>
      <c r="GK56" s="122"/>
      <c r="GL56" s="122"/>
      <c r="GM56" s="122"/>
      <c r="GN56" s="122"/>
      <c r="GO56" s="122"/>
      <c r="GP56" s="122"/>
      <c r="GQ56" s="122"/>
      <c r="GR56" s="122"/>
      <c r="GS56" s="122"/>
      <c r="GT56" s="122"/>
      <c r="GU56" s="122"/>
      <c r="GV56" s="122"/>
      <c r="GW56" s="122"/>
      <c r="GX56" s="122"/>
      <c r="GY56" s="122"/>
      <c r="GZ56" s="122"/>
      <c r="HA56" s="122"/>
      <c r="HB56" s="122"/>
      <c r="HC56" s="122"/>
      <c r="HD56" s="122"/>
      <c r="HE56" s="122"/>
      <c r="HF56" s="122"/>
      <c r="HG56" s="122"/>
      <c r="HH56" s="122"/>
      <c r="HI56" s="122"/>
      <c r="HJ56" s="122"/>
      <c r="HK56" s="122"/>
      <c r="HL56" s="122"/>
      <c r="HM56" s="122"/>
      <c r="HN56" s="122"/>
      <c r="HO56" s="122"/>
      <c r="HP56" s="122"/>
      <c r="HQ56" s="122"/>
      <c r="HR56" s="122"/>
      <c r="HS56" s="122"/>
      <c r="HT56" s="122"/>
      <c r="HU56" s="122"/>
      <c r="HV56" s="122"/>
      <c r="HW56" s="122"/>
      <c r="HX56" s="122"/>
      <c r="HY56" s="122"/>
      <c r="HZ56" s="122"/>
      <c r="IA56" s="122"/>
      <c r="IB56" s="122"/>
      <c r="IC56" s="122"/>
      <c r="ID56" s="122"/>
      <c r="IE56" s="122"/>
      <c r="IF56" s="122"/>
      <c r="IG56" s="122"/>
      <c r="IH56" s="122"/>
      <c r="II56" s="122"/>
      <c r="IJ56" s="122"/>
      <c r="IK56" s="122"/>
      <c r="IL56" s="122"/>
      <c r="IM56" s="122"/>
      <c r="IN56" s="122"/>
      <c r="IO56" s="122"/>
      <c r="IP56" s="122"/>
      <c r="IQ56" s="122"/>
      <c r="IR56" s="122"/>
      <c r="IS56" s="122"/>
      <c r="IT56" s="122"/>
      <c r="IU56" s="122"/>
      <c r="IV56" s="122"/>
      <c r="IW56" s="122"/>
      <c r="IX56" s="122"/>
      <c r="IY56" s="122"/>
      <c r="IZ56" s="122"/>
      <c r="JA56" s="122"/>
      <c r="JB56" s="122"/>
      <c r="JC56" s="122"/>
      <c r="JD56" s="122"/>
      <c r="JE56" s="122"/>
      <c r="JF56" s="122"/>
      <c r="JG56" s="122"/>
      <c r="JH56" s="122"/>
      <c r="JI56" s="122"/>
      <c r="JJ56" s="122"/>
      <c r="JK56" s="122"/>
      <c r="JL56" s="122"/>
      <c r="JM56" s="122"/>
      <c r="JN56" s="122"/>
      <c r="JO56" s="122"/>
      <c r="JP56" s="122"/>
      <c r="JQ56" s="122"/>
      <c r="JR56" s="122"/>
      <c r="JS56" s="122"/>
      <c r="JT56" s="122"/>
      <c r="JU56" s="122"/>
      <c r="JV56" s="122"/>
      <c r="JW56" s="122"/>
      <c r="JX56" s="122"/>
      <c r="JY56" s="122"/>
      <c r="JZ56" s="122"/>
      <c r="KA56" s="122"/>
      <c r="KB56" s="122"/>
      <c r="KC56" s="122"/>
      <c r="KD56" s="122"/>
      <c r="KE56" s="122"/>
      <c r="KF56" s="122"/>
      <c r="KG56" s="122"/>
      <c r="KH56" s="122"/>
      <c r="KI56" s="122"/>
      <c r="KJ56" s="122"/>
      <c r="KK56" s="122"/>
      <c r="KL56" s="122"/>
      <c r="KM56" s="122"/>
      <c r="KN56" s="122"/>
      <c r="KO56" s="122"/>
      <c r="KP56" s="122"/>
      <c r="KQ56" s="122"/>
      <c r="KR56" s="122"/>
      <c r="KS56" s="122"/>
      <c r="KT56" s="122"/>
      <c r="KU56" s="122"/>
      <c r="KV56" s="122"/>
      <c r="KW56" s="122"/>
      <c r="KX56" s="122"/>
      <c r="KY56" s="122"/>
      <c r="KZ56" s="122"/>
      <c r="LA56" s="122"/>
      <c r="LB56" s="122"/>
      <c r="LC56" s="122"/>
      <c r="LD56" s="122"/>
      <c r="LE56" s="122"/>
      <c r="LF56" s="122"/>
      <c r="LG56" s="122"/>
      <c r="LH56" s="122"/>
      <c r="LI56" s="122"/>
      <c r="LJ56" s="122"/>
      <c r="LK56" s="122"/>
      <c r="LL56" s="122"/>
      <c r="LM56" s="122"/>
      <c r="LN56" s="122"/>
      <c r="LO56" s="122"/>
      <c r="LP56" s="122"/>
      <c r="LQ56" s="122"/>
      <c r="LR56" s="122"/>
      <c r="LS56" s="122"/>
      <c r="LT56" s="122"/>
      <c r="LU56" s="122"/>
      <c r="LV56" s="122"/>
      <c r="LW56" s="122"/>
      <c r="LX56" s="122"/>
      <c r="LY56" s="122"/>
      <c r="LZ56" s="122"/>
      <c r="MA56" s="122"/>
      <c r="MB56" s="122"/>
      <c r="MC56" s="122"/>
      <c r="MD56" s="122"/>
      <c r="ME56" s="122"/>
      <c r="MF56" s="122"/>
      <c r="MG56" s="122"/>
      <c r="MH56" s="122"/>
      <c r="MI56" s="122"/>
      <c r="MJ56" s="122"/>
      <c r="MK56" s="122"/>
      <c r="ML56" s="122"/>
      <c r="MM56" s="122"/>
      <c r="MN56" s="122"/>
      <c r="MO56" s="122"/>
      <c r="MP56" s="122"/>
      <c r="MQ56" s="122"/>
      <c r="MR56" s="122"/>
      <c r="MS56" s="122"/>
      <c r="MT56" s="122"/>
      <c r="MU56" s="122"/>
      <c r="MV56" s="122"/>
      <c r="MW56" s="122"/>
      <c r="MX56" s="122"/>
      <c r="MY56" s="122"/>
      <c r="MZ56" s="122"/>
      <c r="NA56" s="122"/>
      <c r="NB56" s="122"/>
      <c r="NC56" s="122"/>
      <c r="ND56" s="122"/>
      <c r="NE56" s="122"/>
      <c r="NF56" s="122"/>
      <c r="NG56" s="122"/>
      <c r="NH56" s="122"/>
      <c r="NI56" s="122"/>
      <c r="NJ56" s="122"/>
      <c r="NK56" s="122"/>
      <c r="NL56" s="122"/>
      <c r="NM56" s="122"/>
      <c r="NN56" s="122"/>
      <c r="NO56" s="122"/>
      <c r="NP56" s="122"/>
      <c r="NQ56" s="122"/>
      <c r="NR56" s="122"/>
      <c r="NS56" s="122"/>
      <c r="NT56" s="122"/>
      <c r="NU56" s="122"/>
      <c r="NV56" s="122"/>
      <c r="NW56" s="122"/>
      <c r="NX56" s="122"/>
      <c r="NY56" s="122"/>
      <c r="NZ56" s="122"/>
      <c r="OA56" s="122"/>
      <c r="OB56" s="122"/>
      <c r="OC56" s="122"/>
      <c r="OD56" s="122"/>
      <c r="OE56" s="122"/>
      <c r="OF56" s="122"/>
      <c r="OG56" s="122"/>
      <c r="OH56" s="122"/>
      <c r="OI56" s="122"/>
      <c r="OJ56" s="122"/>
      <c r="OK56" s="122"/>
      <c r="OL56" s="122"/>
      <c r="OM56" s="122"/>
      <c r="ON56" s="122"/>
      <c r="OO56" s="122"/>
      <c r="OP56" s="122"/>
      <c r="OQ56" s="122"/>
      <c r="OR56" s="122"/>
      <c r="OS56" s="122"/>
      <c r="OT56" s="122"/>
      <c r="OU56" s="122"/>
      <c r="OV56" s="122"/>
      <c r="OW56" s="122"/>
      <c r="OX56" s="122"/>
      <c r="OY56" s="122"/>
      <c r="OZ56" s="122"/>
      <c r="PA56" s="122"/>
      <c r="PB56" s="122"/>
      <c r="PC56" s="122"/>
      <c r="PD56" s="122"/>
      <c r="PE56" s="122"/>
      <c r="PF56" s="122"/>
      <c r="PG56" s="122"/>
      <c r="PH56" s="122"/>
      <c r="PI56" s="122"/>
      <c r="PJ56" s="122"/>
      <c r="PK56" s="122"/>
      <c r="PL56" s="122"/>
      <c r="PM56" s="122"/>
      <c r="PN56" s="122"/>
      <c r="PO56" s="122"/>
      <c r="PP56" s="122"/>
      <c r="PQ56" s="122"/>
      <c r="PR56" s="122"/>
      <c r="PS56" s="122"/>
      <c r="PT56" s="122"/>
      <c r="PU56" s="122"/>
      <c r="PV56" s="122"/>
      <c r="PW56" s="122"/>
      <c r="PX56" s="122"/>
      <c r="PY56" s="122"/>
      <c r="PZ56" s="122"/>
      <c r="QA56" s="122"/>
      <c r="QB56" s="122"/>
      <c r="QC56" s="122"/>
      <c r="QD56" s="122"/>
      <c r="QE56" s="122"/>
      <c r="QF56" s="122"/>
      <c r="QG56" s="122"/>
      <c r="QH56" s="122"/>
      <c r="QI56" s="122"/>
      <c r="QJ56" s="122"/>
      <c r="QK56" s="122"/>
      <c r="QL56" s="122"/>
      <c r="QM56" s="122"/>
      <c r="QN56" s="122"/>
      <c r="QO56" s="122"/>
      <c r="QP56" s="122"/>
      <c r="QQ56" s="122"/>
      <c r="QR56" s="122"/>
      <c r="QS56" s="122"/>
      <c r="QT56" s="122"/>
      <c r="QU56" s="122"/>
      <c r="QV56" s="122"/>
      <c r="QW56" s="122"/>
      <c r="QX56" s="122"/>
      <c r="QY56" s="122"/>
      <c r="QZ56" s="122"/>
      <c r="RA56" s="122"/>
      <c r="RB56" s="122"/>
      <c r="RC56" s="122"/>
      <c r="RD56" s="122"/>
      <c r="RE56" s="122"/>
      <c r="RF56" s="122"/>
      <c r="RG56" s="122"/>
      <c r="RH56" s="122"/>
      <c r="RI56" s="122"/>
      <c r="RJ56" s="122"/>
      <c r="RK56" s="122"/>
      <c r="RL56" s="122"/>
      <c r="RM56" s="122"/>
      <c r="RN56" s="122"/>
      <c r="RO56" s="122"/>
      <c r="RP56" s="122"/>
      <c r="RQ56" s="122"/>
      <c r="RR56" s="122"/>
      <c r="RS56" s="122"/>
      <c r="RT56" s="122"/>
      <c r="RU56" s="122"/>
      <c r="RV56" s="122"/>
      <c r="RW56" s="122"/>
      <c r="RX56" s="122"/>
      <c r="RY56" s="122"/>
      <c r="RZ56" s="122"/>
      <c r="SA56" s="122"/>
      <c r="SB56" s="122"/>
      <c r="SC56" s="122"/>
      <c r="SD56" s="122"/>
      <c r="SE56" s="122"/>
      <c r="SF56" s="122"/>
    </row>
    <row r="57" spans="1:500" s="657" customFormat="1" ht="43" customHeight="1" x14ac:dyDescent="0.25">
      <c r="A57" s="593" t="s">
        <v>2596</v>
      </c>
      <c r="B57" s="593" t="s">
        <v>3459</v>
      </c>
      <c r="C57" s="594" t="str">
        <f t="shared" si="13"/>
        <v>FORD Mustang Mach-E AWD (Batterie Standard Range)</v>
      </c>
      <c r="D57" s="593" t="s">
        <v>2741</v>
      </c>
      <c r="E57" s="593">
        <v>198</v>
      </c>
      <c r="F57" s="593" t="s">
        <v>2521</v>
      </c>
      <c r="G57" s="642">
        <v>19.5</v>
      </c>
      <c r="H57" s="593"/>
      <c r="I57" s="593">
        <v>0</v>
      </c>
      <c r="J57" s="595"/>
      <c r="K57" s="595"/>
      <c r="L57" s="595">
        <v>54000</v>
      </c>
      <c r="M57" s="596"/>
      <c r="N57" s="643"/>
      <c r="O57" s="659"/>
      <c r="P57" s="603"/>
      <c r="Q57" s="603"/>
      <c r="R57" s="603"/>
      <c r="S57" s="603"/>
      <c r="T57" s="603"/>
      <c r="U57" s="603"/>
      <c r="V57" s="603"/>
      <c r="W57" s="603"/>
      <c r="X57" s="603"/>
      <c r="Y57" s="603"/>
      <c r="Z57" s="603"/>
      <c r="AA57" s="603"/>
      <c r="AB57" s="603"/>
      <c r="AC57" s="603"/>
      <c r="AD57" s="603"/>
      <c r="AE57" s="611"/>
      <c r="AF57" s="611"/>
      <c r="AG57" s="609"/>
      <c r="AH57" s="611"/>
      <c r="AI57" s="611"/>
      <c r="AJ57" s="611"/>
      <c r="AK57" s="611"/>
      <c r="AL57" s="611"/>
      <c r="AM57" s="119"/>
      <c r="AN57" s="119"/>
      <c r="AO57" s="119"/>
      <c r="AP57" s="120"/>
      <c r="AQ57" s="120"/>
      <c r="AR57" s="120"/>
      <c r="AS57" s="120"/>
      <c r="AT57" s="120"/>
      <c r="AU57" s="120"/>
      <c r="AV57" s="120"/>
      <c r="AW57" s="120"/>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2"/>
      <c r="EI57" s="122"/>
      <c r="EJ57" s="122"/>
      <c r="EK57" s="122"/>
      <c r="EL57" s="122"/>
      <c r="EM57" s="122"/>
      <c r="EN57" s="122"/>
      <c r="EO57" s="122"/>
      <c r="EP57" s="122"/>
      <c r="EQ57" s="122"/>
      <c r="ER57" s="122"/>
      <c r="ES57" s="122"/>
      <c r="ET57" s="122"/>
      <c r="EU57" s="122"/>
      <c r="EV57" s="122"/>
      <c r="EW57" s="122"/>
      <c r="EX57" s="122"/>
      <c r="EY57" s="122"/>
      <c r="EZ57" s="122"/>
      <c r="FA57" s="122"/>
      <c r="FB57" s="122"/>
      <c r="FC57" s="122"/>
      <c r="FD57" s="122"/>
      <c r="FE57" s="122"/>
      <c r="FF57" s="122"/>
      <c r="FG57" s="122"/>
      <c r="FH57" s="122"/>
      <c r="FI57" s="122"/>
      <c r="FJ57" s="122"/>
      <c r="FK57" s="122"/>
      <c r="FL57" s="122"/>
      <c r="FM57" s="122"/>
      <c r="FN57" s="122"/>
      <c r="FO57" s="122"/>
      <c r="FP57" s="122"/>
      <c r="FQ57" s="122"/>
      <c r="FR57" s="122"/>
      <c r="FS57" s="122"/>
      <c r="FT57" s="122"/>
      <c r="FU57" s="122"/>
      <c r="FV57" s="122"/>
      <c r="FW57" s="122"/>
      <c r="FX57" s="122"/>
      <c r="FY57" s="122"/>
      <c r="FZ57" s="122"/>
      <c r="GA57" s="122"/>
      <c r="GB57" s="122"/>
      <c r="GC57" s="122"/>
      <c r="GD57" s="122"/>
      <c r="GE57" s="122"/>
      <c r="GF57" s="122"/>
      <c r="GG57" s="122"/>
      <c r="GH57" s="122"/>
      <c r="GI57" s="122"/>
      <c r="GJ57" s="122"/>
      <c r="GK57" s="122"/>
      <c r="GL57" s="122"/>
      <c r="GM57" s="122"/>
      <c r="GN57" s="122"/>
      <c r="GO57" s="122"/>
      <c r="GP57" s="122"/>
      <c r="GQ57" s="122"/>
      <c r="GR57" s="122"/>
      <c r="GS57" s="122"/>
      <c r="GT57" s="122"/>
      <c r="GU57" s="122"/>
      <c r="GV57" s="122"/>
      <c r="GW57" s="122"/>
      <c r="GX57" s="122"/>
      <c r="GY57" s="122"/>
      <c r="GZ57" s="122"/>
      <c r="HA57" s="122"/>
      <c r="HB57" s="122"/>
      <c r="HC57" s="122"/>
      <c r="HD57" s="122"/>
      <c r="HE57" s="122"/>
      <c r="HF57" s="122"/>
      <c r="HG57" s="122"/>
      <c r="HH57" s="122"/>
      <c r="HI57" s="122"/>
      <c r="HJ57" s="122"/>
      <c r="HK57" s="122"/>
      <c r="HL57" s="122"/>
      <c r="HM57" s="122"/>
      <c r="HN57" s="122"/>
      <c r="HO57" s="122"/>
      <c r="HP57" s="122"/>
      <c r="HQ57" s="122"/>
      <c r="HR57" s="122"/>
      <c r="HS57" s="122"/>
      <c r="HT57" s="122"/>
      <c r="HU57" s="122"/>
      <c r="HV57" s="122"/>
      <c r="HW57" s="122"/>
      <c r="HX57" s="122"/>
      <c r="HY57" s="122"/>
      <c r="HZ57" s="122"/>
      <c r="IA57" s="122"/>
      <c r="IB57" s="122"/>
      <c r="IC57" s="122"/>
      <c r="ID57" s="122"/>
      <c r="IE57" s="122"/>
      <c r="IF57" s="122"/>
      <c r="IG57" s="122"/>
      <c r="IH57" s="122"/>
      <c r="II57" s="122"/>
      <c r="IJ57" s="122"/>
      <c r="IK57" s="122"/>
      <c r="IL57" s="122"/>
      <c r="IM57" s="122"/>
      <c r="IN57" s="122"/>
      <c r="IO57" s="122"/>
      <c r="IP57" s="122"/>
      <c r="IQ57" s="122"/>
      <c r="IR57" s="122"/>
      <c r="IS57" s="122"/>
      <c r="IT57" s="122"/>
      <c r="IU57" s="122"/>
      <c r="IV57" s="122"/>
      <c r="IW57" s="122"/>
      <c r="IX57" s="122"/>
      <c r="IY57" s="122"/>
      <c r="IZ57" s="122"/>
      <c r="JA57" s="122"/>
      <c r="JB57" s="122"/>
      <c r="JC57" s="122"/>
      <c r="JD57" s="122"/>
      <c r="JE57" s="122"/>
      <c r="JF57" s="122"/>
      <c r="JG57" s="122"/>
      <c r="JH57" s="122"/>
      <c r="JI57" s="122"/>
      <c r="JJ57" s="122"/>
      <c r="JK57" s="122"/>
      <c r="JL57" s="122"/>
      <c r="JM57" s="122"/>
      <c r="JN57" s="122"/>
      <c r="JO57" s="122"/>
      <c r="JP57" s="122"/>
      <c r="JQ57" s="122"/>
      <c r="JR57" s="122"/>
      <c r="JS57" s="122"/>
      <c r="JT57" s="122"/>
      <c r="JU57" s="122"/>
      <c r="JV57" s="122"/>
      <c r="JW57" s="122"/>
      <c r="JX57" s="122"/>
      <c r="JY57" s="122"/>
      <c r="JZ57" s="122"/>
      <c r="KA57" s="122"/>
      <c r="KB57" s="122"/>
      <c r="KC57" s="122"/>
      <c r="KD57" s="122"/>
      <c r="KE57" s="122"/>
      <c r="KF57" s="122"/>
      <c r="KG57" s="122"/>
      <c r="KH57" s="122"/>
      <c r="KI57" s="122"/>
      <c r="KJ57" s="122"/>
      <c r="KK57" s="122"/>
      <c r="KL57" s="122"/>
      <c r="KM57" s="122"/>
      <c r="KN57" s="122"/>
      <c r="KO57" s="122"/>
      <c r="KP57" s="122"/>
      <c r="KQ57" s="122"/>
      <c r="KR57" s="122"/>
      <c r="KS57" s="122"/>
      <c r="KT57" s="122"/>
      <c r="KU57" s="122"/>
      <c r="KV57" s="122"/>
      <c r="KW57" s="122"/>
      <c r="KX57" s="122"/>
      <c r="KY57" s="122"/>
      <c r="KZ57" s="122"/>
      <c r="LA57" s="122"/>
      <c r="LB57" s="122"/>
      <c r="LC57" s="122"/>
      <c r="LD57" s="122"/>
      <c r="LE57" s="122"/>
      <c r="LF57" s="122"/>
      <c r="LG57" s="122"/>
      <c r="LH57" s="122"/>
      <c r="LI57" s="122"/>
      <c r="LJ57" s="122"/>
      <c r="LK57" s="122"/>
      <c r="LL57" s="122"/>
      <c r="LM57" s="122"/>
      <c r="LN57" s="122"/>
      <c r="LO57" s="122"/>
      <c r="LP57" s="122"/>
      <c r="LQ57" s="122"/>
      <c r="LR57" s="122"/>
      <c r="LS57" s="122"/>
      <c r="LT57" s="122"/>
      <c r="LU57" s="122"/>
      <c r="LV57" s="122"/>
      <c r="LW57" s="122"/>
      <c r="LX57" s="122"/>
      <c r="LY57" s="122"/>
      <c r="LZ57" s="122"/>
      <c r="MA57" s="122"/>
      <c r="MB57" s="122"/>
      <c r="MC57" s="122"/>
      <c r="MD57" s="122"/>
      <c r="ME57" s="122"/>
      <c r="MF57" s="122"/>
      <c r="MG57" s="122"/>
      <c r="MH57" s="122"/>
      <c r="MI57" s="122"/>
      <c r="MJ57" s="122"/>
      <c r="MK57" s="122"/>
      <c r="ML57" s="122"/>
      <c r="MM57" s="122"/>
      <c r="MN57" s="122"/>
      <c r="MO57" s="122"/>
      <c r="MP57" s="122"/>
      <c r="MQ57" s="122"/>
      <c r="MR57" s="122"/>
      <c r="MS57" s="122"/>
      <c r="MT57" s="122"/>
      <c r="MU57" s="122"/>
      <c r="MV57" s="122"/>
      <c r="MW57" s="122"/>
      <c r="MX57" s="122"/>
      <c r="MY57" s="122"/>
      <c r="MZ57" s="122"/>
      <c r="NA57" s="122"/>
      <c r="NB57" s="122"/>
      <c r="NC57" s="122"/>
      <c r="ND57" s="122"/>
      <c r="NE57" s="122"/>
      <c r="NF57" s="122"/>
      <c r="NG57" s="122"/>
      <c r="NH57" s="122"/>
      <c r="NI57" s="122"/>
      <c r="NJ57" s="122"/>
      <c r="NK57" s="122"/>
      <c r="NL57" s="122"/>
      <c r="NM57" s="122"/>
      <c r="NN57" s="122"/>
      <c r="NO57" s="122"/>
      <c r="NP57" s="122"/>
      <c r="NQ57" s="122"/>
      <c r="NR57" s="122"/>
      <c r="NS57" s="122"/>
      <c r="NT57" s="122"/>
      <c r="NU57" s="122"/>
      <c r="NV57" s="122"/>
      <c r="NW57" s="122"/>
      <c r="NX57" s="122"/>
      <c r="NY57" s="122"/>
      <c r="NZ57" s="122"/>
      <c r="OA57" s="122"/>
      <c r="OB57" s="122"/>
      <c r="OC57" s="122"/>
      <c r="OD57" s="122"/>
      <c r="OE57" s="122"/>
      <c r="OF57" s="122"/>
      <c r="OG57" s="122"/>
      <c r="OH57" s="122"/>
      <c r="OI57" s="122"/>
      <c r="OJ57" s="122"/>
      <c r="OK57" s="122"/>
      <c r="OL57" s="122"/>
      <c r="OM57" s="122"/>
      <c r="ON57" s="122"/>
      <c r="OO57" s="122"/>
      <c r="OP57" s="122"/>
      <c r="OQ57" s="122"/>
      <c r="OR57" s="122"/>
      <c r="OS57" s="122"/>
      <c r="OT57" s="122"/>
      <c r="OU57" s="122"/>
      <c r="OV57" s="122"/>
      <c r="OW57" s="122"/>
      <c r="OX57" s="122"/>
      <c r="OY57" s="122"/>
      <c r="OZ57" s="122"/>
      <c r="PA57" s="122"/>
      <c r="PB57" s="122"/>
      <c r="PC57" s="122"/>
      <c r="PD57" s="122"/>
      <c r="PE57" s="122"/>
      <c r="PF57" s="122"/>
      <c r="PG57" s="122"/>
      <c r="PH57" s="122"/>
      <c r="PI57" s="122"/>
      <c r="PJ57" s="122"/>
      <c r="PK57" s="122"/>
      <c r="PL57" s="122"/>
      <c r="PM57" s="122"/>
      <c r="PN57" s="122"/>
      <c r="PO57" s="122"/>
      <c r="PP57" s="122"/>
      <c r="PQ57" s="122"/>
      <c r="PR57" s="122"/>
      <c r="PS57" s="122"/>
      <c r="PT57" s="122"/>
      <c r="PU57" s="122"/>
      <c r="PV57" s="122"/>
      <c r="PW57" s="122"/>
      <c r="PX57" s="122"/>
      <c r="PY57" s="122"/>
      <c r="PZ57" s="122"/>
      <c r="QA57" s="122"/>
      <c r="QB57" s="122"/>
      <c r="QC57" s="122"/>
      <c r="QD57" s="122"/>
      <c r="QE57" s="122"/>
      <c r="QF57" s="122"/>
      <c r="QG57" s="122"/>
      <c r="QH57" s="122"/>
      <c r="QI57" s="122"/>
      <c r="QJ57" s="122"/>
      <c r="QK57" s="122"/>
      <c r="QL57" s="122"/>
      <c r="QM57" s="122"/>
      <c r="QN57" s="122"/>
      <c r="QO57" s="122"/>
      <c r="QP57" s="122"/>
      <c r="QQ57" s="122"/>
      <c r="QR57" s="122"/>
      <c r="QS57" s="122"/>
      <c r="QT57" s="122"/>
      <c r="QU57" s="122"/>
      <c r="QV57" s="122"/>
      <c r="QW57" s="122"/>
      <c r="QX57" s="122"/>
      <c r="QY57" s="122"/>
      <c r="QZ57" s="122"/>
      <c r="RA57" s="122"/>
      <c r="RB57" s="122"/>
      <c r="RC57" s="122"/>
      <c r="RD57" s="122"/>
      <c r="RE57" s="122"/>
      <c r="RF57" s="122"/>
      <c r="RG57" s="122"/>
      <c r="RH57" s="122"/>
      <c r="RI57" s="122"/>
      <c r="RJ57" s="122"/>
      <c r="RK57" s="122"/>
      <c r="RL57" s="122"/>
      <c r="RM57" s="122"/>
      <c r="RN57" s="122"/>
      <c r="RO57" s="122"/>
      <c r="RP57" s="122"/>
      <c r="RQ57" s="122"/>
      <c r="RR57" s="122"/>
      <c r="RS57" s="122"/>
      <c r="RT57" s="122"/>
      <c r="RU57" s="122"/>
      <c r="RV57" s="122"/>
      <c r="RW57" s="122"/>
      <c r="RX57" s="122"/>
      <c r="RY57" s="122"/>
      <c r="RZ57" s="122"/>
      <c r="SA57" s="122"/>
      <c r="SB57" s="122"/>
      <c r="SC57" s="122"/>
      <c r="SD57" s="122"/>
      <c r="SE57" s="122"/>
      <c r="SF57" s="122"/>
    </row>
    <row r="58" spans="1:500" s="657" customFormat="1" ht="43" customHeight="1" x14ac:dyDescent="0.25">
      <c r="A58" s="593" t="s">
        <v>2596</v>
      </c>
      <c r="B58" s="593" t="s">
        <v>3460</v>
      </c>
      <c r="C58" s="594" t="str">
        <f t="shared" ref="C58" si="14">CONCATENATE(A58," ",B58)</f>
        <v>FORD Mustang Mach-E AWD (Batterie Extended Range)</v>
      </c>
      <c r="D58" s="593" t="s">
        <v>2741</v>
      </c>
      <c r="E58" s="593">
        <v>258</v>
      </c>
      <c r="F58" s="593" t="s">
        <v>2521</v>
      </c>
      <c r="G58" s="642">
        <v>18.7</v>
      </c>
      <c r="H58" s="593"/>
      <c r="I58" s="593">
        <v>0</v>
      </c>
      <c r="J58" s="595"/>
      <c r="K58" s="595"/>
      <c r="L58" s="595">
        <v>62900</v>
      </c>
      <c r="M58" s="596"/>
      <c r="N58" s="643"/>
      <c r="O58" s="659"/>
      <c r="P58" s="603"/>
      <c r="Q58" s="603"/>
      <c r="R58" s="603"/>
      <c r="S58" s="603"/>
      <c r="T58" s="603"/>
      <c r="U58" s="603"/>
      <c r="V58" s="603"/>
      <c r="W58" s="603"/>
      <c r="X58" s="603"/>
      <c r="Y58" s="603"/>
      <c r="Z58" s="603"/>
      <c r="AA58" s="603"/>
      <c r="AB58" s="603"/>
      <c r="AC58" s="603"/>
      <c r="AD58" s="603"/>
      <c r="AE58" s="611"/>
      <c r="AF58" s="611"/>
      <c r="AG58" s="609"/>
      <c r="AH58" s="611"/>
      <c r="AI58" s="611"/>
      <c r="AJ58" s="611"/>
      <c r="AK58" s="611"/>
      <c r="AL58" s="611"/>
      <c r="AM58" s="119"/>
      <c r="AN58" s="119"/>
      <c r="AO58" s="119"/>
      <c r="AP58" s="120"/>
      <c r="AQ58" s="120"/>
      <c r="AR58" s="120"/>
      <c r="AS58" s="120"/>
      <c r="AT58" s="120"/>
      <c r="AU58" s="120"/>
      <c r="AV58" s="120"/>
      <c r="AW58" s="120"/>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2"/>
      <c r="EI58" s="122"/>
      <c r="EJ58" s="122"/>
      <c r="EK58" s="122"/>
      <c r="EL58" s="122"/>
      <c r="EM58" s="122"/>
      <c r="EN58" s="122"/>
      <c r="EO58" s="122"/>
      <c r="EP58" s="122"/>
      <c r="EQ58" s="122"/>
      <c r="ER58" s="122"/>
      <c r="ES58" s="122"/>
      <c r="ET58" s="122"/>
      <c r="EU58" s="122"/>
      <c r="EV58" s="122"/>
      <c r="EW58" s="122"/>
      <c r="EX58" s="122"/>
      <c r="EY58" s="122"/>
      <c r="EZ58" s="122"/>
      <c r="FA58" s="122"/>
      <c r="FB58" s="122"/>
      <c r="FC58" s="122"/>
      <c r="FD58" s="122"/>
      <c r="FE58" s="122"/>
      <c r="FF58" s="122"/>
      <c r="FG58" s="122"/>
      <c r="FH58" s="122"/>
      <c r="FI58" s="122"/>
      <c r="FJ58" s="122"/>
      <c r="FK58" s="122"/>
      <c r="FL58" s="122"/>
      <c r="FM58" s="122"/>
      <c r="FN58" s="122"/>
      <c r="FO58" s="122"/>
      <c r="FP58" s="122"/>
      <c r="FQ58" s="122"/>
      <c r="FR58" s="122"/>
      <c r="FS58" s="122"/>
      <c r="FT58" s="122"/>
      <c r="FU58" s="122"/>
      <c r="FV58" s="122"/>
      <c r="FW58" s="122"/>
      <c r="FX58" s="122"/>
      <c r="FY58" s="122"/>
      <c r="FZ58" s="122"/>
      <c r="GA58" s="122"/>
      <c r="GB58" s="122"/>
      <c r="GC58" s="122"/>
      <c r="GD58" s="122"/>
      <c r="GE58" s="122"/>
      <c r="GF58" s="122"/>
      <c r="GG58" s="122"/>
      <c r="GH58" s="122"/>
      <c r="GI58" s="122"/>
      <c r="GJ58" s="122"/>
      <c r="GK58" s="122"/>
      <c r="GL58" s="122"/>
      <c r="GM58" s="122"/>
      <c r="GN58" s="122"/>
      <c r="GO58" s="122"/>
      <c r="GP58" s="122"/>
      <c r="GQ58" s="122"/>
      <c r="GR58" s="122"/>
      <c r="GS58" s="122"/>
      <c r="GT58" s="122"/>
      <c r="GU58" s="122"/>
      <c r="GV58" s="122"/>
      <c r="GW58" s="122"/>
      <c r="GX58" s="122"/>
      <c r="GY58" s="122"/>
      <c r="GZ58" s="122"/>
      <c r="HA58" s="122"/>
      <c r="HB58" s="122"/>
      <c r="HC58" s="122"/>
      <c r="HD58" s="122"/>
      <c r="HE58" s="122"/>
      <c r="HF58" s="122"/>
      <c r="HG58" s="122"/>
      <c r="HH58" s="122"/>
      <c r="HI58" s="122"/>
      <c r="HJ58" s="122"/>
      <c r="HK58" s="122"/>
      <c r="HL58" s="122"/>
      <c r="HM58" s="122"/>
      <c r="HN58" s="122"/>
      <c r="HO58" s="122"/>
      <c r="HP58" s="122"/>
      <c r="HQ58" s="122"/>
      <c r="HR58" s="122"/>
      <c r="HS58" s="122"/>
      <c r="HT58" s="122"/>
      <c r="HU58" s="122"/>
      <c r="HV58" s="122"/>
      <c r="HW58" s="122"/>
      <c r="HX58" s="122"/>
      <c r="HY58" s="122"/>
      <c r="HZ58" s="122"/>
      <c r="IA58" s="122"/>
      <c r="IB58" s="122"/>
      <c r="IC58" s="122"/>
      <c r="ID58" s="122"/>
      <c r="IE58" s="122"/>
      <c r="IF58" s="122"/>
      <c r="IG58" s="122"/>
      <c r="IH58" s="122"/>
      <c r="II58" s="122"/>
      <c r="IJ58" s="122"/>
      <c r="IK58" s="122"/>
      <c r="IL58" s="122"/>
      <c r="IM58" s="122"/>
      <c r="IN58" s="122"/>
      <c r="IO58" s="122"/>
      <c r="IP58" s="122"/>
      <c r="IQ58" s="122"/>
      <c r="IR58" s="122"/>
      <c r="IS58" s="122"/>
      <c r="IT58" s="122"/>
      <c r="IU58" s="122"/>
      <c r="IV58" s="122"/>
      <c r="IW58" s="122"/>
      <c r="IX58" s="122"/>
      <c r="IY58" s="122"/>
      <c r="IZ58" s="122"/>
      <c r="JA58" s="122"/>
      <c r="JB58" s="122"/>
      <c r="JC58" s="122"/>
      <c r="JD58" s="122"/>
      <c r="JE58" s="122"/>
      <c r="JF58" s="122"/>
      <c r="JG58" s="122"/>
      <c r="JH58" s="122"/>
      <c r="JI58" s="122"/>
      <c r="JJ58" s="122"/>
      <c r="JK58" s="122"/>
      <c r="JL58" s="122"/>
      <c r="JM58" s="122"/>
      <c r="JN58" s="122"/>
      <c r="JO58" s="122"/>
      <c r="JP58" s="122"/>
      <c r="JQ58" s="122"/>
      <c r="JR58" s="122"/>
      <c r="JS58" s="122"/>
      <c r="JT58" s="122"/>
      <c r="JU58" s="122"/>
      <c r="JV58" s="122"/>
      <c r="JW58" s="122"/>
      <c r="JX58" s="122"/>
      <c r="JY58" s="122"/>
      <c r="JZ58" s="122"/>
      <c r="KA58" s="122"/>
      <c r="KB58" s="122"/>
      <c r="KC58" s="122"/>
      <c r="KD58" s="122"/>
      <c r="KE58" s="122"/>
      <c r="KF58" s="122"/>
      <c r="KG58" s="122"/>
      <c r="KH58" s="122"/>
      <c r="KI58" s="122"/>
      <c r="KJ58" s="122"/>
      <c r="KK58" s="122"/>
      <c r="KL58" s="122"/>
      <c r="KM58" s="122"/>
      <c r="KN58" s="122"/>
      <c r="KO58" s="122"/>
      <c r="KP58" s="122"/>
      <c r="KQ58" s="122"/>
      <c r="KR58" s="122"/>
      <c r="KS58" s="122"/>
      <c r="KT58" s="122"/>
      <c r="KU58" s="122"/>
      <c r="KV58" s="122"/>
      <c r="KW58" s="122"/>
      <c r="KX58" s="122"/>
      <c r="KY58" s="122"/>
      <c r="KZ58" s="122"/>
      <c r="LA58" s="122"/>
      <c r="LB58" s="122"/>
      <c r="LC58" s="122"/>
      <c r="LD58" s="122"/>
      <c r="LE58" s="122"/>
      <c r="LF58" s="122"/>
      <c r="LG58" s="122"/>
      <c r="LH58" s="122"/>
      <c r="LI58" s="122"/>
      <c r="LJ58" s="122"/>
      <c r="LK58" s="122"/>
      <c r="LL58" s="122"/>
      <c r="LM58" s="122"/>
      <c r="LN58" s="122"/>
      <c r="LO58" s="122"/>
      <c r="LP58" s="122"/>
      <c r="LQ58" s="122"/>
      <c r="LR58" s="122"/>
      <c r="LS58" s="122"/>
      <c r="LT58" s="122"/>
      <c r="LU58" s="122"/>
      <c r="LV58" s="122"/>
      <c r="LW58" s="122"/>
      <c r="LX58" s="122"/>
      <c r="LY58" s="122"/>
      <c r="LZ58" s="122"/>
      <c r="MA58" s="122"/>
      <c r="MB58" s="122"/>
      <c r="MC58" s="122"/>
      <c r="MD58" s="122"/>
      <c r="ME58" s="122"/>
      <c r="MF58" s="122"/>
      <c r="MG58" s="122"/>
      <c r="MH58" s="122"/>
      <c r="MI58" s="122"/>
      <c r="MJ58" s="122"/>
      <c r="MK58" s="122"/>
      <c r="ML58" s="122"/>
      <c r="MM58" s="122"/>
      <c r="MN58" s="122"/>
      <c r="MO58" s="122"/>
      <c r="MP58" s="122"/>
      <c r="MQ58" s="122"/>
      <c r="MR58" s="122"/>
      <c r="MS58" s="122"/>
      <c r="MT58" s="122"/>
      <c r="MU58" s="122"/>
      <c r="MV58" s="122"/>
      <c r="MW58" s="122"/>
      <c r="MX58" s="122"/>
      <c r="MY58" s="122"/>
      <c r="MZ58" s="122"/>
      <c r="NA58" s="122"/>
      <c r="NB58" s="122"/>
      <c r="NC58" s="122"/>
      <c r="ND58" s="122"/>
      <c r="NE58" s="122"/>
      <c r="NF58" s="122"/>
      <c r="NG58" s="122"/>
      <c r="NH58" s="122"/>
      <c r="NI58" s="122"/>
      <c r="NJ58" s="122"/>
      <c r="NK58" s="122"/>
      <c r="NL58" s="122"/>
      <c r="NM58" s="122"/>
      <c r="NN58" s="122"/>
      <c r="NO58" s="122"/>
      <c r="NP58" s="122"/>
      <c r="NQ58" s="122"/>
      <c r="NR58" s="122"/>
      <c r="NS58" s="122"/>
      <c r="NT58" s="122"/>
      <c r="NU58" s="122"/>
      <c r="NV58" s="122"/>
      <c r="NW58" s="122"/>
      <c r="NX58" s="122"/>
      <c r="NY58" s="122"/>
      <c r="NZ58" s="122"/>
      <c r="OA58" s="122"/>
      <c r="OB58" s="122"/>
      <c r="OC58" s="122"/>
      <c r="OD58" s="122"/>
      <c r="OE58" s="122"/>
      <c r="OF58" s="122"/>
      <c r="OG58" s="122"/>
      <c r="OH58" s="122"/>
      <c r="OI58" s="122"/>
      <c r="OJ58" s="122"/>
      <c r="OK58" s="122"/>
      <c r="OL58" s="122"/>
      <c r="OM58" s="122"/>
      <c r="ON58" s="122"/>
      <c r="OO58" s="122"/>
      <c r="OP58" s="122"/>
      <c r="OQ58" s="122"/>
      <c r="OR58" s="122"/>
      <c r="OS58" s="122"/>
      <c r="OT58" s="122"/>
      <c r="OU58" s="122"/>
      <c r="OV58" s="122"/>
      <c r="OW58" s="122"/>
      <c r="OX58" s="122"/>
      <c r="OY58" s="122"/>
      <c r="OZ58" s="122"/>
      <c r="PA58" s="122"/>
      <c r="PB58" s="122"/>
      <c r="PC58" s="122"/>
      <c r="PD58" s="122"/>
      <c r="PE58" s="122"/>
      <c r="PF58" s="122"/>
      <c r="PG58" s="122"/>
      <c r="PH58" s="122"/>
      <c r="PI58" s="122"/>
      <c r="PJ58" s="122"/>
      <c r="PK58" s="122"/>
      <c r="PL58" s="122"/>
      <c r="PM58" s="122"/>
      <c r="PN58" s="122"/>
      <c r="PO58" s="122"/>
      <c r="PP58" s="122"/>
      <c r="PQ58" s="122"/>
      <c r="PR58" s="122"/>
      <c r="PS58" s="122"/>
      <c r="PT58" s="122"/>
      <c r="PU58" s="122"/>
      <c r="PV58" s="122"/>
      <c r="PW58" s="122"/>
      <c r="PX58" s="122"/>
      <c r="PY58" s="122"/>
      <c r="PZ58" s="122"/>
      <c r="QA58" s="122"/>
      <c r="QB58" s="122"/>
      <c r="QC58" s="122"/>
      <c r="QD58" s="122"/>
      <c r="QE58" s="122"/>
      <c r="QF58" s="122"/>
      <c r="QG58" s="122"/>
      <c r="QH58" s="122"/>
      <c r="QI58" s="122"/>
      <c r="QJ58" s="122"/>
      <c r="QK58" s="122"/>
      <c r="QL58" s="122"/>
      <c r="QM58" s="122"/>
      <c r="QN58" s="122"/>
      <c r="QO58" s="122"/>
      <c r="QP58" s="122"/>
      <c r="QQ58" s="122"/>
      <c r="QR58" s="122"/>
      <c r="QS58" s="122"/>
      <c r="QT58" s="122"/>
      <c r="QU58" s="122"/>
      <c r="QV58" s="122"/>
      <c r="QW58" s="122"/>
      <c r="QX58" s="122"/>
      <c r="QY58" s="122"/>
      <c r="QZ58" s="122"/>
      <c r="RA58" s="122"/>
      <c r="RB58" s="122"/>
      <c r="RC58" s="122"/>
      <c r="RD58" s="122"/>
      <c r="RE58" s="122"/>
      <c r="RF58" s="122"/>
      <c r="RG58" s="122"/>
      <c r="RH58" s="122"/>
      <c r="RI58" s="122"/>
      <c r="RJ58" s="122"/>
      <c r="RK58" s="122"/>
      <c r="RL58" s="122"/>
      <c r="RM58" s="122"/>
      <c r="RN58" s="122"/>
      <c r="RO58" s="122"/>
      <c r="RP58" s="122"/>
      <c r="RQ58" s="122"/>
      <c r="RR58" s="122"/>
      <c r="RS58" s="122"/>
      <c r="RT58" s="122"/>
      <c r="RU58" s="122"/>
      <c r="RV58" s="122"/>
      <c r="RW58" s="122"/>
      <c r="RX58" s="122"/>
      <c r="RY58" s="122"/>
      <c r="RZ58" s="122"/>
      <c r="SA58" s="122"/>
      <c r="SB58" s="122"/>
      <c r="SC58" s="122"/>
      <c r="SD58" s="122"/>
      <c r="SE58" s="122"/>
      <c r="SF58" s="122"/>
    </row>
    <row r="59" spans="1:500" ht="30.25" customHeight="1" x14ac:dyDescent="0.25">
      <c r="A59" s="593" t="s">
        <v>3301</v>
      </c>
      <c r="B59" s="593" t="s">
        <v>3302</v>
      </c>
      <c r="C59" s="594" t="str">
        <f t="shared" ref="C59:C96" si="15">CONCATENATE(A59," ",B59)</f>
        <v>HONDA Honda e</v>
      </c>
      <c r="D59" s="593" t="s">
        <v>2741</v>
      </c>
      <c r="E59" s="593">
        <v>100</v>
      </c>
      <c r="F59" s="593" t="s">
        <v>2521</v>
      </c>
      <c r="G59" s="642">
        <v>17.2</v>
      </c>
      <c r="H59" s="593"/>
      <c r="I59" s="593">
        <v>0</v>
      </c>
      <c r="J59" s="595"/>
      <c r="K59" s="595"/>
      <c r="L59" s="595">
        <v>35690</v>
      </c>
      <c r="M59" s="596"/>
      <c r="N59" s="643" t="s">
        <v>2875</v>
      </c>
      <c r="O59" s="576"/>
      <c r="P59" s="603"/>
      <c r="Q59" s="603"/>
      <c r="R59" s="603"/>
      <c r="S59" s="603"/>
      <c r="T59" s="603"/>
      <c r="U59" s="603"/>
      <c r="V59" s="603"/>
      <c r="W59" s="603"/>
      <c r="X59" s="603"/>
      <c r="Y59" s="603"/>
      <c r="Z59" s="603"/>
      <c r="AA59" s="603"/>
      <c r="AB59" s="603"/>
      <c r="AC59" s="603"/>
      <c r="AD59" s="603"/>
      <c r="AE59" s="602"/>
      <c r="AF59" s="600"/>
      <c r="AG59" s="599"/>
      <c r="AH59" s="600"/>
      <c r="AI59" s="600"/>
      <c r="AJ59" s="600"/>
      <c r="AK59" s="600"/>
      <c r="AL59" s="600"/>
      <c r="AM59" s="306"/>
      <c r="AN59" s="306"/>
      <c r="AO59" s="306"/>
      <c r="AP59" s="307"/>
      <c r="AQ59" s="306"/>
      <c r="AR59" s="306"/>
      <c r="AS59" s="306"/>
      <c r="AT59" s="306"/>
      <c r="AU59" s="306"/>
      <c r="AV59" s="305"/>
      <c r="AW59" s="305"/>
      <c r="AX59" s="211"/>
      <c r="AY59" s="211"/>
      <c r="AZ59" s="211"/>
      <c r="BA59" s="211"/>
      <c r="BB59" s="211"/>
      <c r="BC59" s="211"/>
      <c r="BD59" s="211"/>
      <c r="BE59" s="211"/>
      <c r="BF59" s="211"/>
      <c r="BG59" s="211"/>
      <c r="BH59" s="211"/>
      <c r="BI59" s="211"/>
      <c r="BJ59" s="211"/>
      <c r="BK59" s="211"/>
      <c r="BL59" s="211"/>
    </row>
    <row r="60" spans="1:500" ht="30.25" customHeight="1" x14ac:dyDescent="0.25">
      <c r="A60" s="593" t="s">
        <v>3301</v>
      </c>
      <c r="B60" s="593" t="s">
        <v>3303</v>
      </c>
      <c r="C60" s="594" t="str">
        <f t="shared" si="15"/>
        <v>HONDA Honda e Advance</v>
      </c>
      <c r="D60" s="593" t="s">
        <v>2741</v>
      </c>
      <c r="E60" s="593">
        <v>113</v>
      </c>
      <c r="F60" s="593" t="s">
        <v>2521</v>
      </c>
      <c r="G60" s="642">
        <v>17.2</v>
      </c>
      <c r="H60" s="593"/>
      <c r="I60" s="593">
        <v>0</v>
      </c>
      <c r="J60" s="595"/>
      <c r="K60" s="595"/>
      <c r="L60" s="595">
        <v>38690</v>
      </c>
      <c r="M60" s="596"/>
      <c r="N60" s="643" t="s">
        <v>2875</v>
      </c>
      <c r="O60" s="576"/>
      <c r="P60" s="603"/>
      <c r="Q60" s="603"/>
      <c r="R60" s="603"/>
      <c r="S60" s="603"/>
      <c r="T60" s="603"/>
      <c r="U60" s="603"/>
      <c r="V60" s="603"/>
      <c r="W60" s="603"/>
      <c r="X60" s="603"/>
      <c r="Y60" s="603"/>
      <c r="Z60" s="603"/>
      <c r="AA60" s="603"/>
      <c r="AB60" s="603"/>
      <c r="AC60" s="603"/>
      <c r="AD60" s="603"/>
      <c r="AE60" s="602"/>
      <c r="AF60" s="600"/>
      <c r="AG60" s="599"/>
      <c r="AH60" s="600"/>
      <c r="AI60" s="600"/>
      <c r="AJ60" s="600"/>
      <c r="AK60" s="600"/>
      <c r="AL60" s="600"/>
      <c r="AM60" s="306"/>
      <c r="AN60" s="306"/>
      <c r="AO60" s="306"/>
      <c r="AP60" s="307"/>
      <c r="AQ60" s="306"/>
      <c r="AR60" s="306"/>
      <c r="AS60" s="306"/>
      <c r="AT60" s="306"/>
      <c r="AU60" s="306"/>
      <c r="AV60" s="305"/>
      <c r="AW60" s="305"/>
      <c r="AX60" s="211"/>
      <c r="AY60" s="211"/>
      <c r="AZ60" s="211"/>
      <c r="BA60" s="211"/>
      <c r="BB60" s="211"/>
      <c r="BC60" s="211"/>
      <c r="BD60" s="211"/>
      <c r="BE60" s="211"/>
      <c r="BF60" s="211"/>
      <c r="BG60" s="211"/>
      <c r="BH60" s="211"/>
      <c r="BI60" s="211"/>
      <c r="BJ60" s="211"/>
      <c r="BK60" s="211"/>
      <c r="BL60" s="211"/>
    </row>
    <row r="61" spans="1:500" ht="30.25" customHeight="1" x14ac:dyDescent="0.25">
      <c r="A61" s="593" t="s">
        <v>2598</v>
      </c>
      <c r="B61" s="593" t="s">
        <v>3360</v>
      </c>
      <c r="C61" s="594" t="str">
        <f t="shared" si="15"/>
        <v>HYUNDAI IONIQ Elektro (LEVEL 3)</v>
      </c>
      <c r="D61" s="593" t="s">
        <v>2741</v>
      </c>
      <c r="E61" s="593">
        <v>100</v>
      </c>
      <c r="F61" s="593" t="s">
        <v>2521</v>
      </c>
      <c r="G61" s="642">
        <v>13.8</v>
      </c>
      <c r="H61" s="593"/>
      <c r="I61" s="593">
        <v>0</v>
      </c>
      <c r="J61" s="595"/>
      <c r="K61" s="595"/>
      <c r="L61" s="595">
        <v>37490</v>
      </c>
      <c r="M61" s="596"/>
      <c r="N61" s="643" t="s">
        <v>2977</v>
      </c>
      <c r="O61" s="576" t="s">
        <v>2973</v>
      </c>
      <c r="P61" s="603"/>
      <c r="Q61" s="603"/>
      <c r="R61" s="603"/>
      <c r="S61" s="603"/>
      <c r="T61" s="603"/>
      <c r="U61" s="603"/>
      <c r="V61" s="603"/>
      <c r="W61" s="603"/>
      <c r="X61" s="603"/>
      <c r="Y61" s="603"/>
      <c r="Z61" s="603"/>
      <c r="AA61" s="603"/>
      <c r="AB61" s="603"/>
      <c r="AC61" s="603"/>
      <c r="AD61" s="603"/>
      <c r="AE61" s="602"/>
      <c r="AF61" s="600"/>
      <c r="AG61" s="599"/>
      <c r="AH61" s="600"/>
      <c r="AI61" s="600"/>
      <c r="AJ61" s="600"/>
      <c r="AK61" s="600"/>
      <c r="AL61" s="600"/>
      <c r="AM61" s="306"/>
      <c r="AN61" s="306"/>
      <c r="AO61" s="306"/>
      <c r="AP61" s="307"/>
      <c r="AQ61" s="306"/>
      <c r="AR61" s="306"/>
      <c r="AS61" s="306"/>
      <c r="AT61" s="306"/>
      <c r="AU61" s="306"/>
      <c r="AV61" s="305"/>
      <c r="AW61" s="305"/>
      <c r="AX61" s="211"/>
      <c r="AY61" s="211"/>
      <c r="AZ61" s="211"/>
      <c r="BA61" s="211"/>
      <c r="BB61" s="211"/>
      <c r="BC61" s="211"/>
      <c r="BD61" s="211"/>
      <c r="BE61" s="211"/>
      <c r="BF61" s="211"/>
      <c r="BG61" s="211"/>
      <c r="BH61" s="211"/>
      <c r="BI61" s="211"/>
      <c r="BJ61" s="211"/>
      <c r="BK61" s="211"/>
      <c r="BL61" s="211"/>
    </row>
    <row r="62" spans="1:500" ht="30.25" customHeight="1" x14ac:dyDescent="0.25">
      <c r="A62" s="593" t="s">
        <v>2598</v>
      </c>
      <c r="B62" s="593" t="s">
        <v>3361</v>
      </c>
      <c r="C62" s="594" t="str">
        <f t="shared" si="15"/>
        <v>HYUNDAI IONIQ Elektro (LEVEL 4)</v>
      </c>
      <c r="D62" s="593" t="s">
        <v>2741</v>
      </c>
      <c r="E62" s="593">
        <v>100</v>
      </c>
      <c r="F62" s="593" t="s">
        <v>2521</v>
      </c>
      <c r="G62" s="642">
        <v>13.8</v>
      </c>
      <c r="H62" s="593"/>
      <c r="I62" s="593">
        <v>0</v>
      </c>
      <c r="J62" s="595"/>
      <c r="K62" s="595"/>
      <c r="L62" s="595">
        <v>39490</v>
      </c>
      <c r="M62" s="596"/>
      <c r="N62" s="643" t="s">
        <v>2977</v>
      </c>
      <c r="O62" s="576" t="s">
        <v>2973</v>
      </c>
      <c r="P62" s="603"/>
      <c r="Q62" s="603"/>
      <c r="R62" s="603"/>
      <c r="S62" s="603"/>
      <c r="T62" s="603"/>
      <c r="U62" s="603"/>
      <c r="V62" s="603"/>
      <c r="W62" s="603"/>
      <c r="X62" s="603"/>
      <c r="Y62" s="603"/>
      <c r="Z62" s="603"/>
      <c r="AA62" s="603"/>
      <c r="AB62" s="603"/>
      <c r="AC62" s="603"/>
      <c r="AD62" s="603"/>
      <c r="AE62" s="602"/>
      <c r="AF62" s="600"/>
      <c r="AG62" s="599"/>
      <c r="AH62" s="600"/>
      <c r="AI62" s="600"/>
      <c r="AJ62" s="600"/>
      <c r="AK62" s="600"/>
      <c r="AL62" s="600"/>
      <c r="AM62" s="306"/>
      <c r="AN62" s="306"/>
      <c r="AO62" s="306"/>
      <c r="AP62" s="307"/>
      <c r="AQ62" s="306"/>
      <c r="AR62" s="306"/>
      <c r="AS62" s="306"/>
      <c r="AT62" s="306"/>
      <c r="AU62" s="306"/>
      <c r="AV62" s="305"/>
      <c r="AW62" s="305"/>
      <c r="AX62" s="211"/>
      <c r="AY62" s="211"/>
      <c r="AZ62" s="211"/>
      <c r="BA62" s="211"/>
      <c r="BB62" s="211"/>
      <c r="BC62" s="211"/>
      <c r="BD62" s="211"/>
      <c r="BE62" s="211"/>
      <c r="BF62" s="211"/>
      <c r="BG62" s="211"/>
      <c r="BH62" s="211"/>
      <c r="BI62" s="211"/>
      <c r="BJ62" s="211"/>
      <c r="BK62" s="211"/>
      <c r="BL62" s="211"/>
    </row>
    <row r="63" spans="1:500" ht="30.25" customHeight="1" x14ac:dyDescent="0.25">
      <c r="A63" s="593" t="s">
        <v>2598</v>
      </c>
      <c r="B63" s="593" t="s">
        <v>3362</v>
      </c>
      <c r="C63" s="594" t="str">
        <f t="shared" si="15"/>
        <v>HYUNDAI IONIQ Elektro (LEVEL 5)</v>
      </c>
      <c r="D63" s="593" t="s">
        <v>2741</v>
      </c>
      <c r="E63" s="593">
        <v>100</v>
      </c>
      <c r="F63" s="593" t="s">
        <v>2521</v>
      </c>
      <c r="G63" s="642">
        <v>13.8</v>
      </c>
      <c r="H63" s="593"/>
      <c r="I63" s="593">
        <v>0</v>
      </c>
      <c r="J63" s="595"/>
      <c r="K63" s="595"/>
      <c r="L63" s="595">
        <v>40990</v>
      </c>
      <c r="M63" s="596"/>
      <c r="N63" s="643" t="s">
        <v>2977</v>
      </c>
      <c r="O63" s="576"/>
      <c r="P63" s="603"/>
      <c r="Q63" s="603"/>
      <c r="R63" s="603"/>
      <c r="S63" s="603"/>
      <c r="T63" s="603"/>
      <c r="U63" s="603"/>
      <c r="V63" s="603"/>
      <c r="W63" s="603"/>
      <c r="X63" s="603"/>
      <c r="Y63" s="603"/>
      <c r="Z63" s="603"/>
      <c r="AA63" s="603"/>
      <c r="AB63" s="603"/>
      <c r="AC63" s="603"/>
      <c r="AD63" s="603"/>
      <c r="AE63" s="602"/>
      <c r="AF63" s="600"/>
      <c r="AG63" s="599"/>
      <c r="AH63" s="600"/>
      <c r="AI63" s="600"/>
      <c r="AJ63" s="600"/>
      <c r="AK63" s="600"/>
      <c r="AL63" s="600"/>
      <c r="AM63" s="306"/>
      <c r="AN63" s="306"/>
      <c r="AO63" s="306"/>
      <c r="AP63" s="307"/>
      <c r="AQ63" s="306"/>
      <c r="AR63" s="306"/>
      <c r="AS63" s="306"/>
      <c r="AT63" s="306"/>
      <c r="AU63" s="306"/>
      <c r="AV63" s="305"/>
      <c r="AW63" s="305"/>
      <c r="AX63" s="211"/>
      <c r="AY63" s="211"/>
      <c r="AZ63" s="211"/>
      <c r="BA63" s="211"/>
      <c r="BB63" s="211"/>
      <c r="BC63" s="211"/>
      <c r="BD63" s="211"/>
      <c r="BE63" s="211"/>
      <c r="BF63" s="211"/>
      <c r="BG63" s="211"/>
      <c r="BH63" s="211"/>
      <c r="BI63" s="211"/>
      <c r="BJ63" s="211"/>
      <c r="BK63" s="211"/>
      <c r="BL63" s="211"/>
    </row>
    <row r="64" spans="1:500" ht="30.25" customHeight="1" x14ac:dyDescent="0.25">
      <c r="A64" s="593" t="s">
        <v>2598</v>
      </c>
      <c r="B64" s="593" t="s">
        <v>3363</v>
      </c>
      <c r="C64" s="594" t="str">
        <f t="shared" si="15"/>
        <v>HYUNDAI IONIQ Elektro (LEVEL 6)</v>
      </c>
      <c r="D64" s="593" t="s">
        <v>2741</v>
      </c>
      <c r="E64" s="593">
        <v>100</v>
      </c>
      <c r="F64" s="593" t="s">
        <v>2521</v>
      </c>
      <c r="G64" s="642">
        <v>13.8</v>
      </c>
      <c r="H64" s="593"/>
      <c r="I64" s="593">
        <v>0</v>
      </c>
      <c r="J64" s="595"/>
      <c r="K64" s="595"/>
      <c r="L64" s="595">
        <v>42490</v>
      </c>
      <c r="M64" s="596"/>
      <c r="N64" s="643" t="s">
        <v>2977</v>
      </c>
      <c r="O64" s="576"/>
      <c r="P64" s="603"/>
      <c r="Q64" s="603"/>
      <c r="R64" s="603"/>
      <c r="S64" s="603"/>
      <c r="T64" s="603"/>
      <c r="U64" s="603"/>
      <c r="V64" s="603"/>
      <c r="W64" s="603"/>
      <c r="X64" s="603"/>
      <c r="Y64" s="603"/>
      <c r="Z64" s="603"/>
      <c r="AA64" s="603"/>
      <c r="AB64" s="603"/>
      <c r="AC64" s="603"/>
      <c r="AD64" s="603"/>
      <c r="AE64" s="602"/>
      <c r="AF64" s="600"/>
      <c r="AG64" s="599"/>
      <c r="AH64" s="600"/>
      <c r="AI64" s="600"/>
      <c r="AJ64" s="600"/>
      <c r="AK64" s="600"/>
      <c r="AL64" s="600"/>
      <c r="AM64" s="306"/>
      <c r="AN64" s="306"/>
      <c r="AO64" s="306"/>
      <c r="AP64" s="307"/>
      <c r="AQ64" s="306"/>
      <c r="AR64" s="306"/>
      <c r="AS64" s="306"/>
      <c r="AT64" s="306"/>
      <c r="AU64" s="306"/>
      <c r="AV64" s="305"/>
      <c r="AW64" s="305"/>
      <c r="AX64" s="211"/>
      <c r="AY64" s="211"/>
      <c r="AZ64" s="211"/>
      <c r="BA64" s="211"/>
      <c r="BB64" s="211"/>
      <c r="BC64" s="211"/>
      <c r="BD64" s="211"/>
      <c r="BE64" s="211"/>
      <c r="BF64" s="211"/>
      <c r="BG64" s="211"/>
      <c r="BH64" s="211"/>
      <c r="BI64" s="211"/>
      <c r="BJ64" s="211"/>
      <c r="BK64" s="211"/>
      <c r="BL64" s="211"/>
    </row>
    <row r="65" spans="1:64" ht="30.25" customHeight="1" x14ac:dyDescent="0.25">
      <c r="A65" s="593" t="s">
        <v>2598</v>
      </c>
      <c r="B65" s="593" t="s">
        <v>3370</v>
      </c>
      <c r="C65" s="594" t="str">
        <f t="shared" si="15"/>
        <v>HYUNDAI KONA LEVEL 3 (39,2 kWh)</v>
      </c>
      <c r="D65" s="593" t="s">
        <v>2741</v>
      </c>
      <c r="E65" s="593">
        <v>100</v>
      </c>
      <c r="F65" s="593" t="s">
        <v>2521</v>
      </c>
      <c r="G65" s="642">
        <v>15</v>
      </c>
      <c r="H65" s="593"/>
      <c r="I65" s="593">
        <v>0</v>
      </c>
      <c r="J65" s="595"/>
      <c r="K65" s="595"/>
      <c r="L65" s="595">
        <v>39990</v>
      </c>
      <c r="M65" s="596"/>
      <c r="N65" s="643" t="s">
        <v>2875</v>
      </c>
      <c r="O65" s="576"/>
      <c r="P65" s="603"/>
      <c r="Q65" s="603"/>
      <c r="R65" s="603"/>
      <c r="S65" s="603"/>
      <c r="T65" s="603"/>
      <c r="U65" s="603"/>
      <c r="V65" s="603"/>
      <c r="W65" s="603"/>
      <c r="X65" s="603"/>
      <c r="Y65" s="603"/>
      <c r="Z65" s="603"/>
      <c r="AA65" s="603"/>
      <c r="AB65" s="603"/>
      <c r="AC65" s="603"/>
      <c r="AD65" s="603"/>
      <c r="AE65" s="602"/>
      <c r="AF65" s="600"/>
      <c r="AG65" s="599"/>
      <c r="AH65" s="600"/>
      <c r="AI65" s="600"/>
      <c r="AJ65" s="600"/>
      <c r="AK65" s="600"/>
      <c r="AL65" s="600"/>
      <c r="AM65" s="306"/>
      <c r="AN65" s="306"/>
      <c r="AO65" s="306"/>
      <c r="AP65" s="307"/>
      <c r="AQ65" s="306"/>
      <c r="AR65" s="306"/>
      <c r="AS65" s="306"/>
      <c r="AT65" s="306"/>
      <c r="AU65" s="306"/>
      <c r="AV65" s="305"/>
      <c r="AW65" s="305"/>
      <c r="AX65" s="211"/>
      <c r="AY65" s="211"/>
      <c r="AZ65" s="211"/>
      <c r="BA65" s="211"/>
      <c r="BB65" s="211"/>
      <c r="BC65" s="211"/>
      <c r="BD65" s="211"/>
      <c r="BE65" s="211"/>
      <c r="BF65" s="211"/>
      <c r="BG65" s="211"/>
      <c r="BH65" s="211"/>
      <c r="BI65" s="211"/>
      <c r="BJ65" s="211"/>
      <c r="BK65" s="211"/>
      <c r="BL65" s="211"/>
    </row>
    <row r="66" spans="1:64" ht="30.25" customHeight="1" x14ac:dyDescent="0.25">
      <c r="A66" s="593" t="s">
        <v>2598</v>
      </c>
      <c r="B66" s="593" t="s">
        <v>3371</v>
      </c>
      <c r="C66" s="594" t="str">
        <f t="shared" si="15"/>
        <v>HYUNDAI KONA LEVEL 4 (39,2 kWh)</v>
      </c>
      <c r="D66" s="593" t="s">
        <v>2741</v>
      </c>
      <c r="E66" s="593">
        <v>100</v>
      </c>
      <c r="F66" s="593" t="s">
        <v>2521</v>
      </c>
      <c r="G66" s="642">
        <v>15</v>
      </c>
      <c r="H66" s="593"/>
      <c r="I66" s="593">
        <v>0</v>
      </c>
      <c r="J66" s="595"/>
      <c r="K66" s="595"/>
      <c r="L66" s="595">
        <v>42290</v>
      </c>
      <c r="M66" s="596"/>
      <c r="N66" s="643" t="s">
        <v>2875</v>
      </c>
      <c r="O66" s="576"/>
      <c r="P66" s="603"/>
      <c r="Q66" s="603"/>
      <c r="R66" s="603"/>
      <c r="S66" s="603"/>
      <c r="T66" s="603"/>
      <c r="U66" s="603"/>
      <c r="V66" s="603"/>
      <c r="W66" s="603"/>
      <c r="X66" s="603"/>
      <c r="Y66" s="603"/>
      <c r="Z66" s="603"/>
      <c r="AA66" s="603"/>
      <c r="AB66" s="603"/>
      <c r="AC66" s="603"/>
      <c r="AD66" s="603"/>
      <c r="AE66" s="602"/>
      <c r="AF66" s="600"/>
      <c r="AG66" s="599"/>
      <c r="AH66" s="600"/>
      <c r="AI66" s="600"/>
      <c r="AJ66" s="600"/>
      <c r="AK66" s="600"/>
      <c r="AL66" s="600"/>
      <c r="AM66" s="306"/>
      <c r="AN66" s="306"/>
      <c r="AO66" s="306"/>
      <c r="AP66" s="307"/>
      <c r="AQ66" s="306"/>
      <c r="AR66" s="306"/>
      <c r="AS66" s="306"/>
      <c r="AT66" s="306"/>
      <c r="AU66" s="306"/>
      <c r="AV66" s="305"/>
      <c r="AW66" s="305"/>
      <c r="AX66" s="211"/>
      <c r="AY66" s="211"/>
      <c r="AZ66" s="211"/>
      <c r="BA66" s="211"/>
      <c r="BB66" s="211"/>
      <c r="BC66" s="211"/>
      <c r="BD66" s="211"/>
      <c r="BE66" s="211"/>
      <c r="BF66" s="211"/>
      <c r="BG66" s="211"/>
      <c r="BH66" s="211"/>
      <c r="BI66" s="211"/>
      <c r="BJ66" s="211"/>
      <c r="BK66" s="211"/>
      <c r="BL66" s="211"/>
    </row>
    <row r="67" spans="1:64" ht="30.25" customHeight="1" x14ac:dyDescent="0.25">
      <c r="A67" s="593" t="s">
        <v>2598</v>
      </c>
      <c r="B67" s="593" t="s">
        <v>3374</v>
      </c>
      <c r="C67" s="594" t="str">
        <f t="shared" si="15"/>
        <v>HYUNDAI KONA LEVEL 4 (64 kWh)</v>
      </c>
      <c r="D67" s="593" t="s">
        <v>2741</v>
      </c>
      <c r="E67" s="593">
        <v>150</v>
      </c>
      <c r="F67" s="593" t="s">
        <v>2521</v>
      </c>
      <c r="G67" s="642">
        <v>15.4</v>
      </c>
      <c r="H67" s="593"/>
      <c r="I67" s="593">
        <v>0</v>
      </c>
      <c r="J67" s="595"/>
      <c r="K67" s="595"/>
      <c r="L67" s="595">
        <v>46790</v>
      </c>
      <c r="M67" s="596"/>
      <c r="N67" s="643" t="s">
        <v>2875</v>
      </c>
      <c r="O67" s="576"/>
      <c r="P67" s="603"/>
      <c r="Q67" s="603"/>
      <c r="R67" s="603"/>
      <c r="S67" s="603"/>
      <c r="T67" s="603"/>
      <c r="U67" s="603"/>
      <c r="V67" s="603"/>
      <c r="W67" s="603"/>
      <c r="X67" s="603"/>
      <c r="Y67" s="603"/>
      <c r="Z67" s="603"/>
      <c r="AA67" s="603"/>
      <c r="AB67" s="603"/>
      <c r="AC67" s="603"/>
      <c r="AD67" s="603"/>
      <c r="AE67" s="602"/>
      <c r="AF67" s="600"/>
      <c r="AG67" s="599"/>
      <c r="AH67" s="600"/>
      <c r="AI67" s="600"/>
      <c r="AJ67" s="600"/>
      <c r="AK67" s="600"/>
      <c r="AL67" s="600"/>
      <c r="AM67" s="306"/>
      <c r="AN67" s="306"/>
      <c r="AO67" s="306"/>
      <c r="AP67" s="307"/>
      <c r="AQ67" s="306"/>
      <c r="AR67" s="306"/>
      <c r="AS67" s="306"/>
      <c r="AT67" s="306"/>
      <c r="AU67" s="306"/>
      <c r="AV67" s="305"/>
      <c r="AW67" s="305"/>
      <c r="AX67" s="211"/>
      <c r="AY67" s="211"/>
      <c r="AZ67" s="211"/>
      <c r="BA67" s="211"/>
      <c r="BB67" s="211"/>
      <c r="BC67" s="211"/>
      <c r="BD67" s="211"/>
      <c r="BE67" s="211"/>
      <c r="BF67" s="211"/>
      <c r="BG67" s="211"/>
      <c r="BH67" s="211"/>
      <c r="BI67" s="211"/>
      <c r="BJ67" s="211"/>
      <c r="BK67" s="211"/>
      <c r="BL67" s="211"/>
    </row>
    <row r="68" spans="1:64" ht="30.25" customHeight="1" x14ac:dyDescent="0.25">
      <c r="A68" s="593" t="s">
        <v>2598</v>
      </c>
      <c r="B68" s="593" t="s">
        <v>3372</v>
      </c>
      <c r="C68" s="594" t="str">
        <f t="shared" si="15"/>
        <v>HYUNDAI KONA LEVEL 5 (39,2 kWh)</v>
      </c>
      <c r="D68" s="593" t="s">
        <v>2741</v>
      </c>
      <c r="E68" s="593">
        <v>100</v>
      </c>
      <c r="F68" s="593" t="s">
        <v>2521</v>
      </c>
      <c r="G68" s="642">
        <v>15</v>
      </c>
      <c r="H68" s="593"/>
      <c r="I68" s="593">
        <v>0</v>
      </c>
      <c r="J68" s="595"/>
      <c r="K68" s="595"/>
      <c r="L68" s="595">
        <v>45290</v>
      </c>
      <c r="M68" s="596"/>
      <c r="N68" s="643" t="s">
        <v>2875</v>
      </c>
      <c r="O68" s="576"/>
      <c r="P68" s="603"/>
      <c r="Q68" s="603"/>
      <c r="R68" s="603"/>
      <c r="S68" s="603"/>
      <c r="T68" s="603"/>
      <c r="U68" s="603"/>
      <c r="V68" s="603"/>
      <c r="W68" s="603"/>
      <c r="X68" s="603"/>
      <c r="Y68" s="603"/>
      <c r="Z68" s="603"/>
      <c r="AA68" s="603"/>
      <c r="AB68" s="603"/>
      <c r="AC68" s="603"/>
      <c r="AD68" s="603"/>
      <c r="AE68" s="602"/>
      <c r="AF68" s="600"/>
      <c r="AG68" s="599"/>
      <c r="AH68" s="600"/>
      <c r="AI68" s="600"/>
      <c r="AJ68" s="600"/>
      <c r="AK68" s="600"/>
      <c r="AL68" s="600"/>
      <c r="AM68" s="306"/>
      <c r="AN68" s="306"/>
      <c r="AO68" s="306"/>
      <c r="AP68" s="307"/>
      <c r="AQ68" s="306"/>
      <c r="AR68" s="306"/>
      <c r="AS68" s="306"/>
      <c r="AT68" s="306"/>
      <c r="AU68" s="306"/>
      <c r="AV68" s="305"/>
      <c r="AW68" s="305"/>
      <c r="AX68" s="211"/>
      <c r="AY68" s="211"/>
      <c r="AZ68" s="211"/>
      <c r="BA68" s="211"/>
      <c r="BB68" s="211"/>
      <c r="BC68" s="211"/>
      <c r="BD68" s="211"/>
      <c r="BE68" s="211"/>
      <c r="BF68" s="211"/>
      <c r="BG68" s="211"/>
      <c r="BH68" s="211"/>
      <c r="BI68" s="211"/>
      <c r="BJ68" s="211"/>
      <c r="BK68" s="211"/>
      <c r="BL68" s="211"/>
    </row>
    <row r="69" spans="1:64" ht="30.25" customHeight="1" x14ac:dyDescent="0.25">
      <c r="A69" s="593" t="s">
        <v>2598</v>
      </c>
      <c r="B69" s="593" t="s">
        <v>3375</v>
      </c>
      <c r="C69" s="594" t="str">
        <f t="shared" si="15"/>
        <v>HYUNDAI KONA LEVEL 5 (64 kWh)</v>
      </c>
      <c r="D69" s="593" t="s">
        <v>2741</v>
      </c>
      <c r="E69" s="593">
        <v>150</v>
      </c>
      <c r="F69" s="593" t="s">
        <v>2521</v>
      </c>
      <c r="G69" s="642">
        <v>15.4</v>
      </c>
      <c r="H69" s="593"/>
      <c r="I69" s="593">
        <v>0</v>
      </c>
      <c r="J69" s="595"/>
      <c r="K69" s="595"/>
      <c r="L69" s="595">
        <v>49790</v>
      </c>
      <c r="M69" s="596"/>
      <c r="N69" s="643" t="s">
        <v>2875</v>
      </c>
      <c r="O69" s="576"/>
      <c r="P69" s="603"/>
      <c r="Q69" s="603"/>
      <c r="R69" s="603"/>
      <c r="S69" s="603"/>
      <c r="T69" s="603"/>
      <c r="U69" s="603"/>
      <c r="V69" s="603"/>
      <c r="W69" s="603"/>
      <c r="X69" s="603"/>
      <c r="Y69" s="603"/>
      <c r="Z69" s="603"/>
      <c r="AA69" s="603"/>
      <c r="AB69" s="603"/>
      <c r="AC69" s="603"/>
      <c r="AD69" s="603"/>
      <c r="AE69" s="602"/>
      <c r="AF69" s="600"/>
      <c r="AG69" s="599"/>
      <c r="AH69" s="600"/>
      <c r="AI69" s="600"/>
      <c r="AJ69" s="600"/>
      <c r="AK69" s="600"/>
      <c r="AL69" s="600"/>
      <c r="AM69" s="306"/>
      <c r="AN69" s="306"/>
      <c r="AO69" s="306"/>
      <c r="AP69" s="307"/>
      <c r="AQ69" s="306"/>
      <c r="AR69" s="306"/>
      <c r="AS69" s="306"/>
      <c r="AT69" s="306"/>
      <c r="AU69" s="306"/>
      <c r="AV69" s="305"/>
      <c r="AW69" s="305"/>
      <c r="AX69" s="211"/>
      <c r="AY69" s="211"/>
      <c r="AZ69" s="211"/>
      <c r="BA69" s="211"/>
      <c r="BB69" s="211"/>
      <c r="BC69" s="211"/>
      <c r="BD69" s="211"/>
      <c r="BE69" s="211"/>
      <c r="BF69" s="211"/>
      <c r="BG69" s="211"/>
      <c r="BH69" s="211"/>
      <c r="BI69" s="211"/>
      <c r="BJ69" s="211"/>
      <c r="BK69" s="211"/>
      <c r="BL69" s="211"/>
    </row>
    <row r="70" spans="1:64" ht="30.25" customHeight="1" x14ac:dyDescent="0.25">
      <c r="A70" s="593" t="s">
        <v>2598</v>
      </c>
      <c r="B70" s="593" t="s">
        <v>3373</v>
      </c>
      <c r="C70" s="594" t="str">
        <f t="shared" si="15"/>
        <v>HYUNDAI KONA LEVEL 6 (64 kWh)</v>
      </c>
      <c r="D70" s="593" t="s">
        <v>2741</v>
      </c>
      <c r="E70" s="593">
        <v>150</v>
      </c>
      <c r="F70" s="593" t="s">
        <v>2521</v>
      </c>
      <c r="G70" s="642">
        <v>15.4</v>
      </c>
      <c r="H70" s="593"/>
      <c r="I70" s="593">
        <v>0</v>
      </c>
      <c r="J70" s="595"/>
      <c r="K70" s="595"/>
      <c r="L70" s="595">
        <v>51290</v>
      </c>
      <c r="M70" s="596"/>
      <c r="N70" s="643" t="s">
        <v>2875</v>
      </c>
      <c r="O70" s="576"/>
      <c r="P70" s="603"/>
      <c r="Q70" s="603"/>
      <c r="R70" s="603"/>
      <c r="S70" s="603"/>
      <c r="T70" s="603"/>
      <c r="U70" s="603"/>
      <c r="V70" s="603"/>
      <c r="W70" s="603"/>
      <c r="X70" s="603"/>
      <c r="Y70" s="603"/>
      <c r="Z70" s="603"/>
      <c r="AA70" s="603"/>
      <c r="AB70" s="603"/>
      <c r="AC70" s="603"/>
      <c r="AD70" s="603"/>
      <c r="AE70" s="602"/>
      <c r="AF70" s="600"/>
      <c r="AG70" s="599"/>
      <c r="AH70" s="600"/>
      <c r="AI70" s="600"/>
      <c r="AJ70" s="600"/>
      <c r="AK70" s="600"/>
      <c r="AL70" s="600"/>
      <c r="AM70" s="306"/>
      <c r="AN70" s="306"/>
      <c r="AO70" s="306"/>
      <c r="AP70" s="307"/>
      <c r="AQ70" s="306"/>
      <c r="AR70" s="306"/>
      <c r="AS70" s="306"/>
      <c r="AT70" s="306"/>
      <c r="AU70" s="306"/>
      <c r="AV70" s="305"/>
      <c r="AW70" s="305"/>
      <c r="AX70" s="211"/>
      <c r="AY70" s="211"/>
      <c r="AZ70" s="211"/>
      <c r="BA70" s="211"/>
      <c r="BB70" s="211"/>
      <c r="BC70" s="211"/>
      <c r="BD70" s="211"/>
      <c r="BE70" s="211"/>
      <c r="BF70" s="211"/>
      <c r="BG70" s="211"/>
      <c r="BH70" s="211"/>
      <c r="BI70" s="211"/>
      <c r="BJ70" s="211"/>
      <c r="BK70" s="211"/>
      <c r="BL70" s="211"/>
    </row>
    <row r="71" spans="1:64" ht="30.25" customHeight="1" x14ac:dyDescent="0.25">
      <c r="A71" s="593" t="s">
        <v>3384</v>
      </c>
      <c r="B71" s="593" t="s">
        <v>3461</v>
      </c>
      <c r="C71" s="594" t="str">
        <f t="shared" si="15"/>
        <v>JAGUAR I-PACE AUSTRIA EDITION</v>
      </c>
      <c r="D71" s="593" t="s">
        <v>2741</v>
      </c>
      <c r="E71" s="593">
        <v>235</v>
      </c>
      <c r="F71" s="593" t="s">
        <v>2521</v>
      </c>
      <c r="G71" s="642">
        <v>23.4</v>
      </c>
      <c r="H71" s="593"/>
      <c r="I71" s="593">
        <v>0</v>
      </c>
      <c r="J71" s="595"/>
      <c r="K71" s="595"/>
      <c r="L71" s="595">
        <v>59900</v>
      </c>
      <c r="M71" s="596"/>
      <c r="N71" s="643" t="s">
        <v>2875</v>
      </c>
      <c r="O71" s="576"/>
      <c r="P71" s="603"/>
      <c r="Q71" s="603"/>
      <c r="R71" s="603"/>
      <c r="S71" s="603"/>
      <c r="T71" s="603"/>
      <c r="U71" s="603"/>
      <c r="V71" s="603"/>
      <c r="W71" s="603"/>
      <c r="X71" s="603"/>
      <c r="Y71" s="603"/>
      <c r="Z71" s="603"/>
      <c r="AA71" s="603"/>
      <c r="AB71" s="603"/>
      <c r="AC71" s="603"/>
      <c r="AD71" s="603"/>
      <c r="AE71" s="602"/>
      <c r="AF71" s="600"/>
      <c r="AG71" s="599"/>
      <c r="AH71" s="600"/>
      <c r="AI71" s="600"/>
      <c r="AJ71" s="600"/>
      <c r="AK71" s="600"/>
      <c r="AL71" s="600"/>
      <c r="AM71" s="306"/>
      <c r="AN71" s="306"/>
      <c r="AO71" s="306"/>
      <c r="AP71" s="307"/>
      <c r="AQ71" s="306"/>
      <c r="AR71" s="306"/>
      <c r="AS71" s="306"/>
      <c r="AT71" s="306"/>
      <c r="AU71" s="306"/>
      <c r="AV71" s="305"/>
      <c r="AW71" s="305"/>
      <c r="AX71" s="211"/>
      <c r="AY71" s="211"/>
      <c r="AZ71" s="211"/>
      <c r="BA71" s="211"/>
      <c r="BB71" s="211"/>
      <c r="BC71" s="211"/>
      <c r="BD71" s="211"/>
      <c r="BE71" s="211"/>
      <c r="BF71" s="211"/>
      <c r="BG71" s="211"/>
      <c r="BH71" s="211"/>
      <c r="BI71" s="211"/>
      <c r="BJ71" s="211"/>
      <c r="BK71" s="211"/>
      <c r="BL71" s="211"/>
    </row>
    <row r="72" spans="1:64" ht="30.25" customHeight="1" x14ac:dyDescent="0.25">
      <c r="A72" s="593" t="s">
        <v>3384</v>
      </c>
      <c r="B72" s="593" t="s">
        <v>3385</v>
      </c>
      <c r="C72" s="594" t="str">
        <f t="shared" si="15"/>
        <v>JAGUAR I-PACE S</v>
      </c>
      <c r="D72" s="593" t="s">
        <v>2741</v>
      </c>
      <c r="E72" s="593">
        <v>294</v>
      </c>
      <c r="F72" s="593" t="s">
        <v>2521</v>
      </c>
      <c r="G72" s="642">
        <v>23.4</v>
      </c>
      <c r="H72" s="593"/>
      <c r="I72" s="593">
        <v>0</v>
      </c>
      <c r="J72" s="595"/>
      <c r="K72" s="595"/>
      <c r="L72" s="595">
        <v>79700</v>
      </c>
      <c r="M72" s="596"/>
      <c r="N72" s="643" t="s">
        <v>2875</v>
      </c>
      <c r="O72" s="576"/>
      <c r="P72" s="603"/>
      <c r="Q72" s="603"/>
      <c r="R72" s="603"/>
      <c r="S72" s="603"/>
      <c r="T72" s="603"/>
      <c r="U72" s="603"/>
      <c r="V72" s="603"/>
      <c r="W72" s="603"/>
      <c r="X72" s="603"/>
      <c r="Y72" s="603"/>
      <c r="Z72" s="603"/>
      <c r="AA72" s="603"/>
      <c r="AB72" s="603"/>
      <c r="AC72" s="603"/>
      <c r="AD72" s="603"/>
      <c r="AE72" s="602"/>
      <c r="AF72" s="600"/>
      <c r="AG72" s="599"/>
      <c r="AH72" s="600"/>
      <c r="AI72" s="600"/>
      <c r="AJ72" s="600"/>
      <c r="AK72" s="600"/>
      <c r="AL72" s="600"/>
      <c r="AM72" s="306"/>
      <c r="AN72" s="306"/>
      <c r="AO72" s="306"/>
      <c r="AP72" s="307"/>
      <c r="AQ72" s="306"/>
      <c r="AR72" s="306"/>
      <c r="AS72" s="306"/>
      <c r="AT72" s="306"/>
      <c r="AU72" s="306"/>
      <c r="AV72" s="305"/>
      <c r="AW72" s="305"/>
      <c r="AX72" s="211"/>
      <c r="AY72" s="211"/>
      <c r="AZ72" s="211"/>
      <c r="BA72" s="211"/>
      <c r="BB72" s="211"/>
      <c r="BC72" s="211"/>
      <c r="BD72" s="211"/>
      <c r="BE72" s="211"/>
      <c r="BF72" s="211"/>
      <c r="BG72" s="211"/>
      <c r="BH72" s="211"/>
      <c r="BI72" s="211"/>
      <c r="BJ72" s="211"/>
      <c r="BK72" s="211"/>
      <c r="BL72" s="211"/>
    </row>
    <row r="73" spans="1:64" ht="30.25" customHeight="1" x14ac:dyDescent="0.25">
      <c r="A73" s="593" t="s">
        <v>3384</v>
      </c>
      <c r="B73" s="593" t="s">
        <v>3386</v>
      </c>
      <c r="C73" s="594" t="str">
        <f t="shared" si="15"/>
        <v>JAGUAR I-PACE SE</v>
      </c>
      <c r="D73" s="593" t="s">
        <v>2741</v>
      </c>
      <c r="E73" s="593">
        <v>294</v>
      </c>
      <c r="F73" s="593" t="s">
        <v>2521</v>
      </c>
      <c r="G73" s="642">
        <v>23.4</v>
      </c>
      <c r="H73" s="593"/>
      <c r="I73" s="593">
        <v>0</v>
      </c>
      <c r="J73" s="595"/>
      <c r="K73" s="595"/>
      <c r="L73" s="595">
        <v>87850</v>
      </c>
      <c r="M73" s="596"/>
      <c r="N73" s="643" t="s">
        <v>2875</v>
      </c>
      <c r="O73" s="576"/>
      <c r="P73" s="603"/>
      <c r="Q73" s="603"/>
      <c r="R73" s="603"/>
      <c r="S73" s="603"/>
      <c r="T73" s="603"/>
      <c r="U73" s="603"/>
      <c r="V73" s="603"/>
      <c r="W73" s="603"/>
      <c r="X73" s="603"/>
      <c r="Y73" s="603"/>
      <c r="Z73" s="603"/>
      <c r="AA73" s="603"/>
      <c r="AB73" s="603"/>
      <c r="AC73" s="603"/>
      <c r="AD73" s="603"/>
      <c r="AE73" s="602"/>
      <c r="AF73" s="600"/>
      <c r="AG73" s="599"/>
      <c r="AH73" s="600"/>
      <c r="AI73" s="600"/>
      <c r="AJ73" s="600"/>
      <c r="AK73" s="600"/>
      <c r="AL73" s="600"/>
      <c r="AM73" s="306"/>
      <c r="AN73" s="306"/>
      <c r="AO73" s="306"/>
      <c r="AP73" s="307"/>
      <c r="AQ73" s="306"/>
      <c r="AR73" s="306"/>
      <c r="AS73" s="306"/>
      <c r="AT73" s="306"/>
      <c r="AU73" s="306"/>
      <c r="AV73" s="305"/>
      <c r="AW73" s="305"/>
      <c r="AX73" s="211"/>
      <c r="AY73" s="211"/>
      <c r="AZ73" s="211"/>
      <c r="BA73" s="211"/>
      <c r="BB73" s="211"/>
      <c r="BC73" s="211"/>
      <c r="BD73" s="211"/>
      <c r="BE73" s="211"/>
      <c r="BF73" s="211"/>
      <c r="BG73" s="211"/>
      <c r="BH73" s="211"/>
      <c r="BI73" s="211"/>
      <c r="BJ73" s="211"/>
      <c r="BK73" s="211"/>
      <c r="BL73" s="211"/>
    </row>
    <row r="74" spans="1:64" ht="30.25" customHeight="1" x14ac:dyDescent="0.25">
      <c r="A74" s="593" t="s">
        <v>3384</v>
      </c>
      <c r="B74" s="593" t="s">
        <v>3387</v>
      </c>
      <c r="C74" s="594" t="str">
        <f t="shared" si="15"/>
        <v>JAGUAR I-PACE HSE</v>
      </c>
      <c r="D74" s="593" t="s">
        <v>2741</v>
      </c>
      <c r="E74" s="593">
        <v>294</v>
      </c>
      <c r="F74" s="593" t="s">
        <v>2521</v>
      </c>
      <c r="G74" s="642">
        <v>23.4</v>
      </c>
      <c r="H74" s="593"/>
      <c r="I74" s="593">
        <v>0</v>
      </c>
      <c r="J74" s="595"/>
      <c r="K74" s="595"/>
      <c r="L74" s="595">
        <v>94700</v>
      </c>
      <c r="M74" s="596"/>
      <c r="N74" s="643" t="s">
        <v>2875</v>
      </c>
      <c r="O74" s="576"/>
      <c r="P74" s="603"/>
      <c r="Q74" s="603"/>
      <c r="R74" s="603"/>
      <c r="S74" s="603"/>
      <c r="T74" s="603"/>
      <c r="U74" s="603"/>
      <c r="V74" s="603"/>
      <c r="W74" s="603"/>
      <c r="X74" s="603"/>
      <c r="Y74" s="603"/>
      <c r="Z74" s="603"/>
      <c r="AA74" s="603"/>
      <c r="AB74" s="603"/>
      <c r="AC74" s="603"/>
      <c r="AD74" s="603"/>
      <c r="AE74" s="602"/>
      <c r="AF74" s="600"/>
      <c r="AG74" s="599"/>
      <c r="AH74" s="600"/>
      <c r="AI74" s="600"/>
      <c r="AJ74" s="600"/>
      <c r="AK74" s="600"/>
      <c r="AL74" s="600"/>
      <c r="AM74" s="306"/>
      <c r="AN74" s="306"/>
      <c r="AO74" s="306"/>
      <c r="AP74" s="307"/>
      <c r="AQ74" s="306"/>
      <c r="AR74" s="306"/>
      <c r="AS74" s="306"/>
      <c r="AT74" s="306"/>
      <c r="AU74" s="306"/>
      <c r="AV74" s="305"/>
      <c r="AW74" s="305"/>
      <c r="AX74" s="211"/>
      <c r="AY74" s="211"/>
      <c r="AZ74" s="211"/>
      <c r="BA74" s="211"/>
      <c r="BB74" s="211"/>
      <c r="BC74" s="211"/>
      <c r="BD74" s="211"/>
      <c r="BE74" s="211"/>
      <c r="BF74" s="211"/>
      <c r="BG74" s="211"/>
      <c r="BH74" s="211"/>
      <c r="BI74" s="211"/>
      <c r="BJ74" s="211"/>
      <c r="BK74" s="211"/>
      <c r="BL74" s="211"/>
    </row>
    <row r="75" spans="1:64" ht="30.25" customHeight="1" x14ac:dyDescent="0.25">
      <c r="A75" s="593" t="s">
        <v>2595</v>
      </c>
      <c r="B75" s="593" t="s">
        <v>3317</v>
      </c>
      <c r="C75" s="594" t="str">
        <f t="shared" si="15"/>
        <v>KIA e-Niro (TITAN)</v>
      </c>
      <c r="D75" s="593" t="s">
        <v>2741</v>
      </c>
      <c r="E75" s="593">
        <v>100</v>
      </c>
      <c r="F75" s="593" t="s">
        <v>2521</v>
      </c>
      <c r="G75" s="642">
        <v>15.3</v>
      </c>
      <c r="H75" s="593"/>
      <c r="I75" s="593">
        <v>0</v>
      </c>
      <c r="J75" s="595"/>
      <c r="K75" s="595"/>
      <c r="L75" s="595">
        <v>37990</v>
      </c>
      <c r="M75" s="596"/>
      <c r="N75" s="643" t="s">
        <v>2877</v>
      </c>
      <c r="O75" s="576"/>
      <c r="P75" s="603"/>
      <c r="Q75" s="603"/>
      <c r="R75" s="603"/>
      <c r="S75" s="603"/>
      <c r="T75" s="603"/>
      <c r="U75" s="603"/>
      <c r="V75" s="603"/>
      <c r="W75" s="603"/>
      <c r="X75" s="603"/>
      <c r="Y75" s="603"/>
      <c r="Z75" s="603"/>
      <c r="AA75" s="603"/>
      <c r="AB75" s="603"/>
      <c r="AC75" s="603"/>
      <c r="AD75" s="603"/>
      <c r="AE75" s="602"/>
      <c r="AF75" s="600"/>
      <c r="AG75" s="599"/>
      <c r="AH75" s="600"/>
      <c r="AI75" s="600"/>
      <c r="AJ75" s="600"/>
      <c r="AK75" s="600"/>
      <c r="AL75" s="600"/>
      <c r="AM75" s="306"/>
      <c r="AN75" s="306"/>
      <c r="AO75" s="306"/>
      <c r="AP75" s="307"/>
      <c r="AQ75" s="306"/>
      <c r="AR75" s="306"/>
      <c r="AS75" s="306"/>
      <c r="AT75" s="306"/>
      <c r="AU75" s="306"/>
      <c r="AV75" s="305"/>
      <c r="AW75" s="305"/>
      <c r="AX75" s="211"/>
      <c r="AY75" s="211"/>
      <c r="AZ75" s="211"/>
      <c r="BA75" s="211"/>
      <c r="BB75" s="211"/>
      <c r="BC75" s="211"/>
      <c r="BD75" s="211"/>
      <c r="BE75" s="211"/>
      <c r="BF75" s="211"/>
      <c r="BG75" s="211"/>
      <c r="BH75" s="211"/>
      <c r="BI75" s="211"/>
      <c r="BJ75" s="211"/>
      <c r="BK75" s="211"/>
      <c r="BL75" s="211"/>
    </row>
    <row r="76" spans="1:64" ht="30.25" customHeight="1" x14ac:dyDescent="0.25">
      <c r="A76" s="593" t="s">
        <v>2595</v>
      </c>
      <c r="B76" s="593" t="s">
        <v>3318</v>
      </c>
      <c r="C76" s="594" t="str">
        <f t="shared" si="15"/>
        <v>KIA e-Niro Long Range (TITAN)</v>
      </c>
      <c r="D76" s="593" t="s">
        <v>2741</v>
      </c>
      <c r="E76" s="593">
        <v>150</v>
      </c>
      <c r="F76" s="593" t="s">
        <v>2521</v>
      </c>
      <c r="G76" s="642">
        <v>15.9</v>
      </c>
      <c r="H76" s="593"/>
      <c r="I76" s="593">
        <v>0</v>
      </c>
      <c r="J76" s="595"/>
      <c r="K76" s="595"/>
      <c r="L76" s="595">
        <v>42390</v>
      </c>
      <c r="M76" s="596"/>
      <c r="N76" s="643" t="s">
        <v>2877</v>
      </c>
      <c r="O76" s="576"/>
      <c r="P76" s="603"/>
      <c r="Q76" s="603"/>
      <c r="R76" s="603"/>
      <c r="S76" s="603"/>
      <c r="T76" s="603"/>
      <c r="U76" s="603"/>
      <c r="V76" s="603"/>
      <c r="W76" s="603"/>
      <c r="X76" s="603"/>
      <c r="Y76" s="603"/>
      <c r="Z76" s="603"/>
      <c r="AA76" s="603"/>
      <c r="AB76" s="603"/>
      <c r="AC76" s="603"/>
      <c r="AD76" s="603"/>
      <c r="AE76" s="602"/>
      <c r="AF76" s="600"/>
      <c r="AG76" s="599"/>
      <c r="AH76" s="600"/>
      <c r="AI76" s="600"/>
      <c r="AJ76" s="600"/>
      <c r="AK76" s="600"/>
      <c r="AL76" s="600"/>
      <c r="AM76" s="306"/>
      <c r="AN76" s="306"/>
      <c r="AO76" s="306"/>
      <c r="AP76" s="307" t="s">
        <v>3355</v>
      </c>
      <c r="AQ76" s="306"/>
      <c r="AR76" s="306"/>
      <c r="AS76" s="306"/>
      <c r="AT76" s="306"/>
      <c r="AU76" s="306"/>
      <c r="AV76" s="305"/>
      <c r="AW76" s="305"/>
      <c r="AX76" s="211"/>
      <c r="AY76" s="211"/>
      <c r="AZ76" s="211"/>
      <c r="BA76" s="211"/>
      <c r="BB76" s="211"/>
      <c r="BC76" s="211"/>
      <c r="BD76" s="211"/>
      <c r="BE76" s="211"/>
      <c r="BF76" s="211"/>
      <c r="BG76" s="211"/>
      <c r="BH76" s="211"/>
      <c r="BI76" s="211"/>
      <c r="BJ76" s="211"/>
      <c r="BK76" s="211"/>
      <c r="BL76" s="211"/>
    </row>
    <row r="77" spans="1:64" ht="30.25" customHeight="1" x14ac:dyDescent="0.25">
      <c r="A77" s="593" t="s">
        <v>2595</v>
      </c>
      <c r="B77" s="593" t="s">
        <v>3319</v>
      </c>
      <c r="C77" s="594" t="str">
        <f t="shared" si="15"/>
        <v>KIA e-Niro (SILBER)</v>
      </c>
      <c r="D77" s="593" t="s">
        <v>2741</v>
      </c>
      <c r="E77" s="593">
        <v>100</v>
      </c>
      <c r="F77" s="593" t="s">
        <v>2521</v>
      </c>
      <c r="G77" s="642">
        <v>15.3</v>
      </c>
      <c r="H77" s="593"/>
      <c r="I77" s="593">
        <v>0</v>
      </c>
      <c r="J77" s="595"/>
      <c r="K77" s="595"/>
      <c r="L77" s="595">
        <v>41190</v>
      </c>
      <c r="M77" s="596"/>
      <c r="N77" s="643" t="s">
        <v>2877</v>
      </c>
      <c r="O77" s="576"/>
      <c r="P77" s="603"/>
      <c r="Q77" s="603"/>
      <c r="R77" s="603"/>
      <c r="S77" s="603"/>
      <c r="T77" s="603"/>
      <c r="U77" s="603"/>
      <c r="V77" s="603"/>
      <c r="W77" s="603"/>
      <c r="X77" s="603"/>
      <c r="Y77" s="603"/>
      <c r="Z77" s="603"/>
      <c r="AA77" s="603"/>
      <c r="AB77" s="603"/>
      <c r="AC77" s="603"/>
      <c r="AD77" s="603"/>
      <c r="AE77" s="600"/>
      <c r="AF77" s="600"/>
      <c r="AG77" s="600"/>
      <c r="AH77" s="600"/>
      <c r="AI77" s="600"/>
      <c r="AJ77" s="600"/>
      <c r="AK77" s="600"/>
      <c r="AL77" s="600"/>
      <c r="AM77" s="306"/>
      <c r="AN77" s="307">
        <f>VLOOKUP(AO77,AP77:AU80,IF(AV82+1&lt;=1,6,AV82+1),TRUE)</f>
        <v>99</v>
      </c>
      <c r="AO77" s="306">
        <f>IF(Eingabe!$G$14&lt;='Daten-Elektrofahrzeug'!AP78,'Daten-Elektrofahrzeug'!AP78,IF(Eingabe!$G$14&lt;='Daten-Elektrofahrzeug'!AP79,'Daten-Elektrofahrzeug'!AP79,'Daten-Elektrofahrzeug'!AP80))</f>
        <v>36</v>
      </c>
      <c r="AP77" s="566" t="s">
        <v>2528</v>
      </c>
      <c r="AQ77" s="567">
        <v>7500</v>
      </c>
      <c r="AR77" s="567">
        <v>10000</v>
      </c>
      <c r="AS77" s="567">
        <v>12500</v>
      </c>
      <c r="AT77" s="567">
        <v>15000</v>
      </c>
      <c r="AU77" s="567">
        <v>17500</v>
      </c>
      <c r="AV77" s="211"/>
      <c r="AW77" s="211"/>
      <c r="AX77" s="211"/>
      <c r="AY77" s="211"/>
      <c r="AZ77" s="211"/>
      <c r="BA77" s="211"/>
      <c r="BB77" s="211"/>
      <c r="BC77" s="211"/>
      <c r="BD77" s="211"/>
      <c r="BE77" s="211"/>
      <c r="BF77" s="211"/>
      <c r="BG77" s="211"/>
      <c r="BH77" s="211"/>
      <c r="BI77" s="211"/>
      <c r="BJ77" s="211"/>
      <c r="BK77" s="211"/>
    </row>
    <row r="78" spans="1:64" ht="30.25" customHeight="1" x14ac:dyDescent="0.25">
      <c r="A78" s="593" t="s">
        <v>2595</v>
      </c>
      <c r="B78" s="593" t="s">
        <v>3320</v>
      </c>
      <c r="C78" s="594" t="str">
        <f t="shared" si="15"/>
        <v>KIA e-Niro Long Range (SILBER)</v>
      </c>
      <c r="D78" s="593" t="s">
        <v>2741</v>
      </c>
      <c r="E78" s="593">
        <v>150</v>
      </c>
      <c r="F78" s="593" t="s">
        <v>2521</v>
      </c>
      <c r="G78" s="642">
        <v>15.9</v>
      </c>
      <c r="H78" s="593"/>
      <c r="I78" s="593">
        <v>0</v>
      </c>
      <c r="J78" s="595"/>
      <c r="K78" s="595"/>
      <c r="L78" s="595">
        <v>45590</v>
      </c>
      <c r="M78" s="596"/>
      <c r="N78" s="643" t="s">
        <v>2877</v>
      </c>
      <c r="O78" s="576"/>
      <c r="P78" s="603"/>
      <c r="Q78" s="603"/>
      <c r="R78" s="601"/>
      <c r="S78" s="601"/>
      <c r="T78" s="601"/>
      <c r="U78" s="601"/>
      <c r="V78" s="601"/>
      <c r="W78" s="601"/>
      <c r="X78" s="601"/>
      <c r="Y78" s="601"/>
      <c r="Z78" s="601"/>
      <c r="AA78" s="601"/>
      <c r="AB78" s="601"/>
      <c r="AC78" s="601"/>
      <c r="AD78" s="601"/>
      <c r="AE78" s="602"/>
      <c r="AF78" s="604"/>
      <c r="AG78" s="600"/>
      <c r="AH78" s="600"/>
      <c r="AI78" s="600"/>
      <c r="AJ78" s="600"/>
      <c r="AK78" s="600"/>
      <c r="AL78" s="600"/>
      <c r="AM78" s="306"/>
      <c r="AN78" s="306"/>
      <c r="AO78" s="306"/>
      <c r="AP78" s="567">
        <v>12</v>
      </c>
      <c r="AQ78" s="568">
        <v>74</v>
      </c>
      <c r="AR78" s="568">
        <v>84</v>
      </c>
      <c r="AS78" s="568">
        <v>94</v>
      </c>
      <c r="AT78" s="568">
        <v>104</v>
      </c>
      <c r="AU78" s="568">
        <v>114</v>
      </c>
      <c r="AV78" s="211"/>
      <c r="AW78" s="211"/>
      <c r="AX78" s="211"/>
      <c r="AY78" s="211"/>
      <c r="AZ78" s="211"/>
      <c r="BA78" s="211"/>
      <c r="BB78" s="211"/>
      <c r="BC78" s="211"/>
      <c r="BD78" s="211"/>
      <c r="BE78" s="211"/>
      <c r="BF78" s="211"/>
      <c r="BG78" s="211"/>
      <c r="BH78" s="211"/>
      <c r="BI78" s="211"/>
      <c r="BJ78" s="211"/>
      <c r="BK78" s="211"/>
    </row>
    <row r="79" spans="1:64" ht="30.25" customHeight="1" x14ac:dyDescent="0.25">
      <c r="A79" s="593" t="s">
        <v>2595</v>
      </c>
      <c r="B79" s="593" t="s">
        <v>3321</v>
      </c>
      <c r="C79" s="594" t="str">
        <f t="shared" si="15"/>
        <v>KIA e-Niro (GOLD)</v>
      </c>
      <c r="D79" s="593" t="s">
        <v>2741</v>
      </c>
      <c r="E79" s="593">
        <v>100</v>
      </c>
      <c r="F79" s="593" t="s">
        <v>2521</v>
      </c>
      <c r="G79" s="642">
        <v>15.3</v>
      </c>
      <c r="H79" s="593"/>
      <c r="I79" s="593">
        <v>0</v>
      </c>
      <c r="J79" s="595"/>
      <c r="K79" s="595"/>
      <c r="L79" s="595">
        <v>43390</v>
      </c>
      <c r="M79" s="596"/>
      <c r="N79" s="643" t="s">
        <v>2877</v>
      </c>
      <c r="O79" s="576"/>
      <c r="P79" s="603"/>
      <c r="Q79" s="601"/>
      <c r="R79" s="601"/>
      <c r="S79" s="601"/>
      <c r="T79" s="601"/>
      <c r="U79" s="601"/>
      <c r="V79" s="601"/>
      <c r="W79" s="601"/>
      <c r="X79" s="601"/>
      <c r="Y79" s="601"/>
      <c r="Z79" s="601"/>
      <c r="AA79" s="601"/>
      <c r="AB79" s="601"/>
      <c r="AC79" s="601"/>
      <c r="AD79" s="601"/>
      <c r="AE79" s="605"/>
      <c r="AF79" s="606"/>
      <c r="AG79" s="600"/>
      <c r="AH79" s="600"/>
      <c r="AI79" s="600"/>
      <c r="AJ79" s="600"/>
      <c r="AK79" s="607"/>
      <c r="AL79" s="600"/>
      <c r="AM79" s="306"/>
      <c r="AN79" s="306"/>
      <c r="AO79" s="306"/>
      <c r="AP79" s="567">
        <v>24</v>
      </c>
      <c r="AQ79" s="568">
        <v>69</v>
      </c>
      <c r="AR79" s="568">
        <v>79</v>
      </c>
      <c r="AS79" s="568">
        <v>89</v>
      </c>
      <c r="AT79" s="568">
        <v>99</v>
      </c>
      <c r="AU79" s="568">
        <v>109</v>
      </c>
      <c r="AV79" s="211"/>
      <c r="AW79" s="211"/>
      <c r="AX79" s="211"/>
      <c r="AY79" s="211"/>
      <c r="AZ79" s="211"/>
      <c r="BA79" s="211"/>
      <c r="BB79" s="211"/>
      <c r="BC79" s="211"/>
      <c r="BD79" s="211"/>
      <c r="BE79" s="211"/>
      <c r="BF79" s="211"/>
      <c r="BG79" s="211"/>
      <c r="BH79" s="211"/>
      <c r="BI79" s="211"/>
      <c r="BJ79" s="211"/>
      <c r="BK79" s="211"/>
    </row>
    <row r="80" spans="1:64" ht="30.25" customHeight="1" x14ac:dyDescent="0.25">
      <c r="A80" s="593" t="s">
        <v>2595</v>
      </c>
      <c r="B80" s="593" t="s">
        <v>3322</v>
      </c>
      <c r="C80" s="594" t="str">
        <f t="shared" si="15"/>
        <v>KIA e-Niro Long Range (GOLD)</v>
      </c>
      <c r="D80" s="593" t="s">
        <v>2741</v>
      </c>
      <c r="E80" s="593">
        <v>150</v>
      </c>
      <c r="F80" s="593" t="s">
        <v>2521</v>
      </c>
      <c r="G80" s="642">
        <v>15.9</v>
      </c>
      <c r="H80" s="593"/>
      <c r="I80" s="593">
        <v>0</v>
      </c>
      <c r="J80" s="595"/>
      <c r="K80" s="595"/>
      <c r="L80" s="595">
        <v>47790</v>
      </c>
      <c r="M80" s="596"/>
      <c r="N80" s="643" t="s">
        <v>2877</v>
      </c>
      <c r="O80" s="576"/>
      <c r="P80" s="603"/>
      <c r="Q80" s="601"/>
      <c r="R80" s="601"/>
      <c r="S80" s="601"/>
      <c r="T80" s="601"/>
      <c r="U80" s="601"/>
      <c r="V80" s="601"/>
      <c r="W80" s="601"/>
      <c r="X80" s="601"/>
      <c r="Y80" s="601"/>
      <c r="Z80" s="601"/>
      <c r="AA80" s="601"/>
      <c r="AB80" s="601"/>
      <c r="AC80" s="601"/>
      <c r="AD80" s="601"/>
      <c r="AE80" s="605"/>
      <c r="AF80" s="606"/>
      <c r="AG80" s="600"/>
      <c r="AH80" s="600"/>
      <c r="AI80" s="600"/>
      <c r="AJ80" s="600"/>
      <c r="AK80" s="600"/>
      <c r="AL80" s="600"/>
      <c r="AM80" s="306"/>
      <c r="AN80" s="306"/>
      <c r="AO80" s="306"/>
      <c r="AP80" s="567">
        <v>36</v>
      </c>
      <c r="AQ80" s="568">
        <v>69</v>
      </c>
      <c r="AR80" s="568">
        <v>79</v>
      </c>
      <c r="AS80" s="568">
        <v>89</v>
      </c>
      <c r="AT80" s="568">
        <v>99</v>
      </c>
      <c r="AU80" s="568">
        <v>109</v>
      </c>
      <c r="AV80" s="211"/>
      <c r="AW80" s="211"/>
      <c r="AX80" s="211"/>
      <c r="AY80" s="211"/>
      <c r="AZ80" s="211"/>
      <c r="BA80" s="211"/>
      <c r="BB80" s="211"/>
      <c r="BC80" s="211"/>
      <c r="BD80" s="211"/>
      <c r="BE80" s="211"/>
      <c r="BF80" s="211"/>
      <c r="BG80" s="211"/>
      <c r="BH80" s="211"/>
      <c r="BI80" s="211"/>
      <c r="BJ80" s="211"/>
      <c r="BK80" s="211"/>
    </row>
    <row r="81" spans="1:64" ht="30.25" customHeight="1" x14ac:dyDescent="0.25">
      <c r="A81" s="593" t="s">
        <v>2595</v>
      </c>
      <c r="B81" s="593" t="s">
        <v>3323</v>
      </c>
      <c r="C81" s="594" t="str">
        <f t="shared" si="15"/>
        <v>KIA e-Niro (PLATIN)</v>
      </c>
      <c r="D81" s="593" t="s">
        <v>2741</v>
      </c>
      <c r="E81" s="593">
        <v>100</v>
      </c>
      <c r="F81" s="593" t="s">
        <v>2521</v>
      </c>
      <c r="G81" s="642">
        <v>15.3</v>
      </c>
      <c r="H81" s="593"/>
      <c r="I81" s="593">
        <v>0</v>
      </c>
      <c r="J81" s="595"/>
      <c r="K81" s="595"/>
      <c r="L81" s="595">
        <v>45190</v>
      </c>
      <c r="M81" s="596"/>
      <c r="N81" s="643" t="s">
        <v>2877</v>
      </c>
      <c r="O81" s="576"/>
      <c r="P81" s="603"/>
      <c r="Q81" s="601"/>
      <c r="R81" s="601"/>
      <c r="S81" s="601"/>
      <c r="T81" s="601"/>
      <c r="U81" s="601"/>
      <c r="V81" s="601"/>
      <c r="W81" s="601"/>
      <c r="X81" s="601"/>
      <c r="Y81" s="601"/>
      <c r="Z81" s="601"/>
      <c r="AA81" s="601"/>
      <c r="AB81" s="601"/>
      <c r="AC81" s="601"/>
      <c r="AD81" s="601"/>
      <c r="AE81" s="605"/>
      <c r="AF81" s="600"/>
      <c r="AG81" s="307" t="s">
        <v>2876</v>
      </c>
      <c r="AH81" s="606"/>
      <c r="AI81" s="600"/>
      <c r="AJ81" s="600"/>
      <c r="AK81" s="600"/>
      <c r="AL81" s="600"/>
      <c r="AM81" s="600"/>
      <c r="AN81" s="306"/>
      <c r="AO81" s="306"/>
      <c r="AP81" s="306"/>
      <c r="AQ81" s="569" t="b">
        <f>IF(AND(Eingabe!$G$7&lt;=AQ77),AQ77)</f>
        <v>0</v>
      </c>
      <c r="AR81" s="569" t="b">
        <f>IF(AND(Eingabe!$G$7&lt;=AR77,Eingabe!$G$7&gt;AQ77),AR77)</f>
        <v>0</v>
      </c>
      <c r="AS81" s="569" t="b">
        <f>IF(AND(Eingabe!$G$7&lt;=AS77,Eingabe!$G$7&gt;AR77),AS77)</f>
        <v>0</v>
      </c>
      <c r="AT81" s="569">
        <f>IF(AND(Eingabe!$G$7&lt;=AT77,Eingabe!$G$7&gt;AS77),AT77)</f>
        <v>15000</v>
      </c>
      <c r="AU81" s="569" t="b">
        <f>IF(AND(Eingabe!$G$7&lt;=AU77,Eingabe!$G$7&gt;AT77),AU77)</f>
        <v>0</v>
      </c>
      <c r="AV81" s="211"/>
      <c r="AW81" s="211"/>
      <c r="AX81" s="211"/>
      <c r="AY81" s="211"/>
      <c r="AZ81" s="211"/>
      <c r="BA81" s="211"/>
      <c r="BB81" s="211"/>
      <c r="BC81" s="211"/>
      <c r="BD81" s="211"/>
      <c r="BE81" s="211"/>
      <c r="BF81" s="211"/>
      <c r="BG81" s="211"/>
      <c r="BH81" s="211"/>
      <c r="BI81" s="211"/>
      <c r="BJ81" s="211"/>
      <c r="BK81" s="211"/>
    </row>
    <row r="82" spans="1:64" ht="30.25" customHeight="1" x14ac:dyDescent="0.25">
      <c r="A82" s="593" t="s">
        <v>2595</v>
      </c>
      <c r="B82" s="593" t="s">
        <v>3324</v>
      </c>
      <c r="C82" s="594" t="str">
        <f t="shared" si="15"/>
        <v>KIA e-Niro Long Range (PLATIN)</v>
      </c>
      <c r="D82" s="593" t="s">
        <v>2741</v>
      </c>
      <c r="E82" s="593">
        <v>150</v>
      </c>
      <c r="F82" s="593" t="s">
        <v>2521</v>
      </c>
      <c r="G82" s="642">
        <v>15.9</v>
      </c>
      <c r="H82" s="593"/>
      <c r="I82" s="593">
        <v>0</v>
      </c>
      <c r="J82" s="595"/>
      <c r="K82" s="595"/>
      <c r="L82" s="595">
        <v>49590</v>
      </c>
      <c r="M82" s="596"/>
      <c r="N82" s="643" t="s">
        <v>2877</v>
      </c>
      <c r="O82" s="576" t="s">
        <v>2973</v>
      </c>
      <c r="P82" s="603"/>
      <c r="Q82" s="601"/>
      <c r="R82" s="603"/>
      <c r="S82" s="603"/>
      <c r="T82" s="603"/>
      <c r="U82" s="603"/>
      <c r="V82" s="603"/>
      <c r="W82" s="603"/>
      <c r="X82" s="603"/>
      <c r="Y82" s="603"/>
      <c r="Z82" s="603"/>
      <c r="AA82" s="603"/>
      <c r="AB82" s="603"/>
      <c r="AC82" s="603"/>
      <c r="AD82" s="603"/>
      <c r="AE82" s="307">
        <f>VLOOKUP(AF82,AG82:AK85,IF(AL87+1&lt;=1,5,AL87+1),TRUE)</f>
        <v>91.2</v>
      </c>
      <c r="AF82" s="306">
        <f>IF(Eingabe!G14&lt;='Daten-Elektrofahrzeug'!AG83,'Daten-Elektrofahrzeug'!AG83,IF(Eingabe!G14&lt;='Daten-Elektrofahrzeug'!AG84,'Daten-Elektrofahrzeug'!AG84,'Daten-Elektrofahrzeug'!AG85))</f>
        <v>36</v>
      </c>
      <c r="AG82" s="566" t="s">
        <v>2528</v>
      </c>
      <c r="AH82" s="567">
        <v>10000</v>
      </c>
      <c r="AI82" s="567">
        <v>15000</v>
      </c>
      <c r="AJ82" s="567">
        <v>20000</v>
      </c>
      <c r="AK82" s="567">
        <v>25000</v>
      </c>
      <c r="AL82" s="600"/>
      <c r="AM82" s="600"/>
      <c r="AN82" s="306"/>
      <c r="AO82" s="306"/>
      <c r="AP82" s="306"/>
      <c r="AQ82" s="306">
        <f>IF(AQ81=AQ77,1,0)</f>
        <v>0</v>
      </c>
      <c r="AR82" s="306">
        <f>IF(AR81=AR77,2,0)</f>
        <v>0</v>
      </c>
      <c r="AS82" s="306">
        <f>IF(AS81=AS77,3,0)</f>
        <v>0</v>
      </c>
      <c r="AT82" s="306">
        <f>IF(AT81=AT77,4,0)</f>
        <v>4</v>
      </c>
      <c r="AU82" s="306">
        <f>IF(AU81=AU77,5,0)</f>
        <v>0</v>
      </c>
      <c r="AV82" s="305">
        <f>SUM(AQ82:AU82)</f>
        <v>4</v>
      </c>
      <c r="AW82" s="211"/>
      <c r="AX82" s="211"/>
      <c r="AY82" s="211"/>
      <c r="AZ82" s="211"/>
      <c r="BA82" s="211"/>
      <c r="BB82" s="211"/>
      <c r="BC82" s="211"/>
      <c r="BD82" s="211"/>
      <c r="BE82" s="211"/>
      <c r="BF82" s="211"/>
      <c r="BG82" s="211"/>
      <c r="BH82" s="211"/>
      <c r="BI82" s="211"/>
      <c r="BJ82" s="211"/>
      <c r="BK82" s="211"/>
    </row>
    <row r="83" spans="1:64" ht="30.25" customHeight="1" x14ac:dyDescent="0.25">
      <c r="A83" s="593" t="s">
        <v>2595</v>
      </c>
      <c r="B83" s="593" t="s">
        <v>3343</v>
      </c>
      <c r="C83" s="594" t="str">
        <f t="shared" si="15"/>
        <v>KIA e-Soul (TITAN)</v>
      </c>
      <c r="D83" s="593" t="s">
        <v>2741</v>
      </c>
      <c r="E83" s="593">
        <v>100</v>
      </c>
      <c r="F83" s="593" t="s">
        <v>2521</v>
      </c>
      <c r="G83" s="642">
        <v>15.6</v>
      </c>
      <c r="H83" s="593"/>
      <c r="I83" s="593">
        <v>0</v>
      </c>
      <c r="J83" s="595"/>
      <c r="K83" s="595"/>
      <c r="L83" s="595">
        <v>34990</v>
      </c>
      <c r="M83" s="596"/>
      <c r="N83" s="643" t="s">
        <v>2877</v>
      </c>
      <c r="O83" s="576" t="s">
        <v>2973</v>
      </c>
      <c r="P83" s="601"/>
      <c r="Q83" s="603"/>
      <c r="R83" s="603"/>
      <c r="S83" s="603"/>
      <c r="T83" s="603"/>
      <c r="U83" s="603"/>
      <c r="V83" s="603"/>
      <c r="W83" s="603"/>
      <c r="X83" s="603"/>
      <c r="Y83" s="603"/>
      <c r="Z83" s="603"/>
      <c r="AA83" s="603"/>
      <c r="AB83" s="603"/>
      <c r="AC83" s="603"/>
      <c r="AD83" s="603"/>
      <c r="AE83" s="605"/>
      <c r="AF83" s="600"/>
      <c r="AG83" s="567">
        <v>12</v>
      </c>
      <c r="AH83" s="568">
        <v>111.6</v>
      </c>
      <c r="AI83" s="568">
        <v>115.2</v>
      </c>
      <c r="AJ83" s="568">
        <v>132</v>
      </c>
      <c r="AK83" s="568">
        <v>151.19999999999999</v>
      </c>
      <c r="AL83" s="600"/>
      <c r="AM83" s="600"/>
      <c r="AN83" s="306"/>
      <c r="AO83" s="306"/>
      <c r="AP83" s="212" t="s">
        <v>2523</v>
      </c>
      <c r="AQ83" s="213"/>
      <c r="AR83" s="213"/>
      <c r="AS83" s="213"/>
      <c r="AT83" s="213"/>
      <c r="AU83" s="213"/>
      <c r="AV83" s="213"/>
      <c r="AW83" s="213"/>
      <c r="AX83" s="211"/>
      <c r="AY83" s="211"/>
      <c r="AZ83" s="211"/>
      <c r="BA83" s="211"/>
      <c r="BB83" s="211"/>
      <c r="BC83" s="211"/>
      <c r="BD83" s="211"/>
      <c r="BE83" s="211"/>
      <c r="BF83" s="211"/>
      <c r="BG83" s="211"/>
      <c r="BH83" s="211"/>
      <c r="BI83" s="211"/>
      <c r="BJ83" s="211"/>
      <c r="BK83" s="211"/>
      <c r="BL83" s="211"/>
    </row>
    <row r="84" spans="1:64" ht="30.25" customHeight="1" x14ac:dyDescent="0.25">
      <c r="A84" s="593" t="s">
        <v>2595</v>
      </c>
      <c r="B84" s="593" t="s">
        <v>3347</v>
      </c>
      <c r="C84" s="594" t="str">
        <f t="shared" si="15"/>
        <v>KIA e-Soul Long Range (TITAN)</v>
      </c>
      <c r="D84" s="593" t="s">
        <v>2741</v>
      </c>
      <c r="E84" s="593">
        <v>150</v>
      </c>
      <c r="F84" s="593" t="s">
        <v>2521</v>
      </c>
      <c r="G84" s="642">
        <v>15.7</v>
      </c>
      <c r="H84" s="593"/>
      <c r="I84" s="593">
        <v>0</v>
      </c>
      <c r="J84" s="595"/>
      <c r="K84" s="595"/>
      <c r="L84" s="595">
        <v>39390</v>
      </c>
      <c r="M84" s="596"/>
      <c r="N84" s="643" t="s">
        <v>2877</v>
      </c>
      <c r="O84" s="576"/>
      <c r="P84" s="601"/>
      <c r="Q84" s="603"/>
      <c r="R84" s="601"/>
      <c r="S84" s="601"/>
      <c r="T84" s="601"/>
      <c r="U84" s="601"/>
      <c r="V84" s="601"/>
      <c r="W84" s="601"/>
      <c r="X84" s="601"/>
      <c r="Y84" s="601"/>
      <c r="Z84" s="601"/>
      <c r="AA84" s="601"/>
      <c r="AB84" s="601"/>
      <c r="AC84" s="601"/>
      <c r="AD84" s="601"/>
      <c r="AE84" s="602"/>
      <c r="AF84" s="600"/>
      <c r="AG84" s="567">
        <v>24</v>
      </c>
      <c r="AH84" s="568">
        <v>99.6</v>
      </c>
      <c r="AI84" s="568">
        <v>103.2</v>
      </c>
      <c r="AJ84" s="568">
        <v>120</v>
      </c>
      <c r="AK84" s="568">
        <v>139.19999999999999</v>
      </c>
      <c r="AL84" s="600"/>
      <c r="AM84" s="600"/>
      <c r="AN84" s="306"/>
      <c r="AO84" s="306"/>
      <c r="AP84" s="212" t="s">
        <v>2524</v>
      </c>
      <c r="AQ84" s="213"/>
      <c r="AR84" s="213"/>
      <c r="AS84" s="213"/>
      <c r="AT84" s="213"/>
      <c r="AU84" s="213"/>
      <c r="AV84" s="213"/>
      <c r="AW84" s="213"/>
      <c r="AX84" s="211"/>
      <c r="AY84" s="211"/>
      <c r="AZ84" s="211"/>
      <c r="BA84" s="211"/>
      <c r="BB84" s="211"/>
      <c r="BC84" s="211"/>
      <c r="BD84" s="211"/>
      <c r="BE84" s="211"/>
      <c r="BF84" s="211"/>
      <c r="BG84" s="211"/>
      <c r="BH84" s="211"/>
      <c r="BI84" s="211"/>
      <c r="BJ84" s="211"/>
      <c r="BK84" s="211"/>
      <c r="BL84" s="211"/>
    </row>
    <row r="85" spans="1:64" ht="30.25" customHeight="1" x14ac:dyDescent="0.25">
      <c r="A85" s="593" t="s">
        <v>2595</v>
      </c>
      <c r="B85" s="593" t="s">
        <v>3344</v>
      </c>
      <c r="C85" s="594" t="str">
        <f t="shared" si="15"/>
        <v>KIA e-Soul (SILBER)</v>
      </c>
      <c r="D85" s="593" t="s">
        <v>2741</v>
      </c>
      <c r="E85" s="593">
        <v>100</v>
      </c>
      <c r="F85" s="593" t="s">
        <v>2521</v>
      </c>
      <c r="G85" s="642">
        <v>15.6</v>
      </c>
      <c r="H85" s="593"/>
      <c r="I85" s="593">
        <v>0</v>
      </c>
      <c r="J85" s="595"/>
      <c r="K85" s="595"/>
      <c r="L85" s="595">
        <v>37990</v>
      </c>
      <c r="M85" s="596"/>
      <c r="N85" s="643" t="s">
        <v>2877</v>
      </c>
      <c r="O85" s="576"/>
      <c r="P85" s="601"/>
      <c r="Q85" s="603"/>
      <c r="R85" s="601"/>
      <c r="S85" s="601"/>
      <c r="T85" s="601"/>
      <c r="U85" s="601"/>
      <c r="V85" s="601"/>
      <c r="W85" s="601"/>
      <c r="X85" s="601"/>
      <c r="Y85" s="601"/>
      <c r="Z85" s="601"/>
      <c r="AA85" s="601"/>
      <c r="AB85" s="601"/>
      <c r="AC85" s="601"/>
      <c r="AD85" s="601"/>
      <c r="AE85" s="602"/>
      <c r="AF85" s="600"/>
      <c r="AG85" s="567">
        <v>36</v>
      </c>
      <c r="AH85" s="568">
        <v>87.6</v>
      </c>
      <c r="AI85" s="568">
        <v>91.2</v>
      </c>
      <c r="AJ85" s="568">
        <v>108</v>
      </c>
      <c r="AK85" s="568">
        <v>127.2</v>
      </c>
      <c r="AL85" s="600"/>
      <c r="AM85" s="600"/>
      <c r="AN85" s="306"/>
      <c r="AO85" s="306"/>
      <c r="AP85" s="212"/>
      <c r="AQ85" s="213"/>
      <c r="AR85" s="213"/>
      <c r="AS85" s="213"/>
      <c r="AT85" s="213"/>
      <c r="AU85" s="213"/>
      <c r="AV85" s="213"/>
      <c r="AW85" s="213"/>
      <c r="AX85" s="211"/>
      <c r="AY85" s="211"/>
      <c r="AZ85" s="211"/>
      <c r="BA85" s="211"/>
      <c r="BB85" s="211"/>
      <c r="BC85" s="211"/>
      <c r="BD85" s="211"/>
      <c r="BE85" s="211"/>
      <c r="BF85" s="211"/>
      <c r="BG85" s="211"/>
      <c r="BH85" s="211"/>
      <c r="BI85" s="211"/>
      <c r="BJ85" s="211"/>
      <c r="BK85" s="211"/>
      <c r="BL85" s="211"/>
    </row>
    <row r="86" spans="1:64" ht="30.25" customHeight="1" x14ac:dyDescent="0.25">
      <c r="A86" s="593" t="s">
        <v>2595</v>
      </c>
      <c r="B86" s="593" t="s">
        <v>3348</v>
      </c>
      <c r="C86" s="594" t="str">
        <f t="shared" si="15"/>
        <v>KIA e-Soul Long Range (SILBER)</v>
      </c>
      <c r="D86" s="593" t="s">
        <v>2741</v>
      </c>
      <c r="E86" s="593">
        <v>150</v>
      </c>
      <c r="F86" s="593" t="s">
        <v>2521</v>
      </c>
      <c r="G86" s="642">
        <v>15.7</v>
      </c>
      <c r="H86" s="593"/>
      <c r="I86" s="593">
        <v>0</v>
      </c>
      <c r="J86" s="595"/>
      <c r="K86" s="595"/>
      <c r="L86" s="595">
        <v>42390</v>
      </c>
      <c r="M86" s="596"/>
      <c r="N86" s="643" t="s">
        <v>2877</v>
      </c>
      <c r="O86" s="576"/>
      <c r="P86" s="601"/>
      <c r="Q86" s="603"/>
      <c r="R86" s="603"/>
      <c r="S86" s="603"/>
      <c r="T86" s="603"/>
      <c r="U86" s="603"/>
      <c r="V86" s="603"/>
      <c r="W86" s="603"/>
      <c r="X86" s="603"/>
      <c r="Y86" s="603"/>
      <c r="Z86" s="603"/>
      <c r="AA86" s="603"/>
      <c r="AB86" s="603"/>
      <c r="AC86" s="603"/>
      <c r="AD86" s="603"/>
      <c r="AE86" s="602"/>
      <c r="AF86" s="600"/>
      <c r="AG86" s="306"/>
      <c r="AH86" s="569" t="b">
        <f>IF(AND(Eingabe!$G$7&lt;=AH82),AH82)</f>
        <v>0</v>
      </c>
      <c r="AI86" s="569">
        <f>IF(AND(Eingabe!$G$7&lt;=AI82,Eingabe!$G$7&gt;AH82),AI82)</f>
        <v>15000</v>
      </c>
      <c r="AJ86" s="569" t="b">
        <f>IF(AND(Eingabe!$G$7&lt;=AJ82,Eingabe!$G$7&gt;AI82),AJ82)</f>
        <v>0</v>
      </c>
      <c r="AK86" s="569" t="b">
        <f>IF(AND(Eingabe!$G$7&lt;=AK82,Eingabe!$G$7&gt;AJ82),AK82)</f>
        <v>0</v>
      </c>
      <c r="AL86" s="306"/>
      <c r="AM86" s="600"/>
      <c r="AN86" s="306"/>
      <c r="AO86" s="306"/>
      <c r="AP86" s="212" t="s">
        <v>2525</v>
      </c>
      <c r="AQ86" s="213"/>
      <c r="AR86" s="213"/>
      <c r="AS86" s="213"/>
      <c r="AT86" s="213"/>
      <c r="AU86" s="213"/>
      <c r="AV86" s="213"/>
      <c r="AW86" s="213"/>
      <c r="AX86" s="211"/>
      <c r="AY86" s="211"/>
      <c r="AZ86" s="211"/>
      <c r="BA86" s="211"/>
      <c r="BB86" s="211"/>
      <c r="BC86" s="211"/>
      <c r="BD86" s="211"/>
      <c r="BE86" s="211"/>
      <c r="BF86" s="211"/>
      <c r="BG86" s="211"/>
      <c r="BH86" s="211"/>
      <c r="BI86" s="211"/>
      <c r="BJ86" s="211"/>
      <c r="BK86" s="211"/>
      <c r="BL86" s="211"/>
    </row>
    <row r="87" spans="1:64" ht="30.25" customHeight="1" x14ac:dyDescent="0.25">
      <c r="A87" s="593" t="s">
        <v>2595</v>
      </c>
      <c r="B87" s="593" t="s">
        <v>3345</v>
      </c>
      <c r="C87" s="594" t="str">
        <f t="shared" si="15"/>
        <v>KIA e-Soul (GOLD)</v>
      </c>
      <c r="D87" s="593" t="s">
        <v>2741</v>
      </c>
      <c r="E87" s="593">
        <v>100</v>
      </c>
      <c r="F87" s="593" t="s">
        <v>2521</v>
      </c>
      <c r="G87" s="642">
        <v>15.6</v>
      </c>
      <c r="H87" s="593"/>
      <c r="I87" s="593">
        <v>0</v>
      </c>
      <c r="J87" s="595"/>
      <c r="K87" s="595"/>
      <c r="L87" s="595">
        <v>40690</v>
      </c>
      <c r="M87" s="596"/>
      <c r="N87" s="643" t="s">
        <v>2877</v>
      </c>
      <c r="O87" s="576"/>
      <c r="P87" s="601"/>
      <c r="Q87" s="603"/>
      <c r="R87" s="603"/>
      <c r="S87" s="603"/>
      <c r="T87" s="603"/>
      <c r="U87" s="603"/>
      <c r="V87" s="603"/>
      <c r="W87" s="603"/>
      <c r="X87" s="603"/>
      <c r="Y87" s="603"/>
      <c r="Z87" s="603"/>
      <c r="AA87" s="603"/>
      <c r="AB87" s="603"/>
      <c r="AC87" s="603"/>
      <c r="AD87" s="603"/>
      <c r="AE87" s="608"/>
      <c r="AF87" s="600"/>
      <c r="AG87" s="306"/>
      <c r="AH87" s="306">
        <f>IF(AH86=AH82,1,0)</f>
        <v>0</v>
      </c>
      <c r="AI87" s="306">
        <f>IF(AI86=AI82,2,0)</f>
        <v>2</v>
      </c>
      <c r="AJ87" s="306">
        <f>IF(AJ86=AJ82,3,0)</f>
        <v>0</v>
      </c>
      <c r="AK87" s="306">
        <f>IF(AK86=AK82,4,0)</f>
        <v>0</v>
      </c>
      <c r="AL87" s="306">
        <f>SUM(AH87:AK87)</f>
        <v>2</v>
      </c>
      <c r="AM87" s="600"/>
      <c r="AN87" s="600"/>
      <c r="AO87" s="306"/>
      <c r="AP87" s="212"/>
      <c r="AQ87" s="212" t="s">
        <v>2522</v>
      </c>
      <c r="AR87" s="213"/>
      <c r="AS87" s="213"/>
      <c r="AT87" s="213"/>
      <c r="AU87" s="213"/>
      <c r="AV87" s="213"/>
      <c r="AW87" s="213"/>
      <c r="AX87" s="213"/>
      <c r="AY87" s="211"/>
      <c r="AZ87" s="211"/>
      <c r="BA87" s="211"/>
      <c r="BB87" s="211"/>
      <c r="BC87" s="211"/>
      <c r="BD87" s="211"/>
      <c r="BE87" s="211"/>
      <c r="BF87" s="211"/>
      <c r="BG87" s="211"/>
      <c r="BH87" s="211"/>
      <c r="BI87" s="211"/>
      <c r="BJ87" s="211"/>
      <c r="BK87" s="211"/>
      <c r="BL87" s="211"/>
    </row>
    <row r="88" spans="1:64" ht="30.25" customHeight="1" x14ac:dyDescent="0.25">
      <c r="A88" s="593" t="s">
        <v>2595</v>
      </c>
      <c r="B88" s="593" t="s">
        <v>3349</v>
      </c>
      <c r="C88" s="594" t="str">
        <f t="shared" si="15"/>
        <v>KIA e-Soul Long Range (GOLD)</v>
      </c>
      <c r="D88" s="593" t="s">
        <v>2741</v>
      </c>
      <c r="E88" s="593">
        <v>150</v>
      </c>
      <c r="F88" s="593" t="s">
        <v>2521</v>
      </c>
      <c r="G88" s="642">
        <v>15.7</v>
      </c>
      <c r="H88" s="593"/>
      <c r="I88" s="593">
        <v>0</v>
      </c>
      <c r="J88" s="595"/>
      <c r="K88" s="595"/>
      <c r="L88" s="595">
        <v>45090</v>
      </c>
      <c r="M88" s="596"/>
      <c r="N88" s="643" t="s">
        <v>2877</v>
      </c>
      <c r="O88" s="576"/>
      <c r="P88" s="601"/>
      <c r="Q88" s="603"/>
      <c r="R88" s="603"/>
      <c r="S88" s="603"/>
      <c r="T88" s="603"/>
      <c r="U88" s="603"/>
      <c r="V88" s="603"/>
      <c r="W88" s="603"/>
      <c r="X88" s="603"/>
      <c r="Y88" s="603"/>
      <c r="Z88" s="603"/>
      <c r="AA88" s="603"/>
      <c r="AB88" s="603"/>
      <c r="AC88" s="603"/>
      <c r="AD88" s="603"/>
      <c r="AE88" s="602"/>
      <c r="AF88" s="600"/>
      <c r="AG88" s="306"/>
      <c r="AH88" s="577"/>
      <c r="AI88" s="306"/>
      <c r="AJ88" s="306"/>
      <c r="AK88" s="306"/>
      <c r="AL88" s="599"/>
      <c r="AM88" s="600"/>
      <c r="AN88" s="600"/>
      <c r="AO88" s="306"/>
      <c r="AP88" s="212"/>
      <c r="AQ88" s="212" t="s">
        <v>2526</v>
      </c>
      <c r="AR88" s="213"/>
      <c r="AS88" s="213"/>
      <c r="AT88" s="213"/>
      <c r="AU88" s="213"/>
      <c r="AV88" s="213"/>
      <c r="AW88" s="213"/>
      <c r="AX88" s="213"/>
      <c r="AY88" s="211"/>
      <c r="AZ88" s="211"/>
      <c r="BA88" s="211"/>
      <c r="BB88" s="211"/>
      <c r="BC88" s="211"/>
      <c r="BD88" s="211"/>
      <c r="BE88" s="211"/>
      <c r="BF88" s="211"/>
      <c r="BG88" s="211"/>
      <c r="BH88" s="211"/>
      <c r="BI88" s="211"/>
      <c r="BJ88" s="211"/>
      <c r="BK88" s="211"/>
      <c r="BL88" s="211"/>
    </row>
    <row r="89" spans="1:64" ht="30.25" customHeight="1" x14ac:dyDescent="0.25">
      <c r="A89" s="593" t="s">
        <v>2595</v>
      </c>
      <c r="B89" s="593" t="s">
        <v>3346</v>
      </c>
      <c r="C89" s="594" t="str">
        <f t="shared" si="15"/>
        <v>KIA e-Soul (PLATIN)</v>
      </c>
      <c r="D89" s="593" t="s">
        <v>2741</v>
      </c>
      <c r="E89" s="593">
        <v>100</v>
      </c>
      <c r="F89" s="593" t="s">
        <v>2521</v>
      </c>
      <c r="G89" s="642">
        <v>15.6</v>
      </c>
      <c r="H89" s="593"/>
      <c r="I89" s="593">
        <v>0</v>
      </c>
      <c r="J89" s="595"/>
      <c r="K89" s="595"/>
      <c r="L89" s="595">
        <v>42490</v>
      </c>
      <c r="M89" s="596"/>
      <c r="N89" s="643" t="s">
        <v>2877</v>
      </c>
      <c r="O89" s="576"/>
      <c r="P89" s="601"/>
      <c r="Q89" s="601"/>
      <c r="R89" s="603"/>
      <c r="S89" s="603"/>
      <c r="T89" s="603"/>
      <c r="U89" s="603"/>
      <c r="V89" s="603"/>
      <c r="W89" s="603"/>
      <c r="X89" s="603"/>
      <c r="Y89" s="603"/>
      <c r="Z89" s="603"/>
      <c r="AA89" s="603"/>
      <c r="AB89" s="603"/>
      <c r="AC89" s="603"/>
      <c r="AD89" s="603"/>
      <c r="AE89" s="602"/>
      <c r="AF89" s="600"/>
      <c r="AG89" s="306"/>
      <c r="AH89" s="577"/>
      <c r="AI89" s="306"/>
      <c r="AJ89" s="306"/>
      <c r="AK89" s="306"/>
      <c r="AL89" s="599"/>
      <c r="AM89" s="600"/>
      <c r="AN89" s="600"/>
      <c r="AO89" s="306"/>
      <c r="AP89" s="212"/>
      <c r="AQ89" s="212"/>
      <c r="AR89" s="213"/>
      <c r="AS89" s="213"/>
      <c r="AT89" s="213"/>
      <c r="AU89" s="213"/>
      <c r="AV89" s="213"/>
      <c r="AW89" s="213"/>
      <c r="AX89" s="213"/>
      <c r="AY89" s="211"/>
      <c r="AZ89" s="211"/>
      <c r="BA89" s="211"/>
      <c r="BB89" s="211"/>
      <c r="BC89" s="211"/>
      <c r="BD89" s="211"/>
      <c r="BE89" s="211"/>
      <c r="BF89" s="211"/>
      <c r="BG89" s="211"/>
      <c r="BH89" s="211"/>
      <c r="BI89" s="211"/>
      <c r="BJ89" s="211"/>
      <c r="BK89" s="211"/>
      <c r="BL89" s="211"/>
    </row>
    <row r="90" spans="1:64" ht="30.25" customHeight="1" x14ac:dyDescent="0.25">
      <c r="A90" s="593" t="s">
        <v>2595</v>
      </c>
      <c r="B90" s="593" t="s">
        <v>3350</v>
      </c>
      <c r="C90" s="594" t="str">
        <f t="shared" si="15"/>
        <v>KIA e-Soul Long Range (PLATIN)</v>
      </c>
      <c r="D90" s="593" t="s">
        <v>2741</v>
      </c>
      <c r="E90" s="593">
        <v>150</v>
      </c>
      <c r="F90" s="593" t="s">
        <v>2521</v>
      </c>
      <c r="G90" s="642">
        <v>15.7</v>
      </c>
      <c r="H90" s="593"/>
      <c r="I90" s="593">
        <v>0</v>
      </c>
      <c r="J90" s="595"/>
      <c r="K90" s="595"/>
      <c r="L90" s="595">
        <v>46890</v>
      </c>
      <c r="M90" s="596"/>
      <c r="N90" s="643" t="s">
        <v>2877</v>
      </c>
      <c r="O90" s="576"/>
      <c r="P90" s="601"/>
      <c r="Q90" s="601"/>
      <c r="R90" s="603"/>
      <c r="S90" s="603"/>
      <c r="T90" s="603"/>
      <c r="U90" s="603"/>
      <c r="V90" s="603"/>
      <c r="W90" s="603"/>
      <c r="X90" s="603"/>
      <c r="Y90" s="603"/>
      <c r="Z90" s="603"/>
      <c r="AA90" s="603"/>
      <c r="AB90" s="603"/>
      <c r="AC90" s="603"/>
      <c r="AD90" s="603"/>
      <c r="AE90" s="602"/>
      <c r="AF90" s="600"/>
      <c r="AG90" s="306"/>
      <c r="AH90" s="577"/>
      <c r="AI90" s="306"/>
      <c r="AJ90" s="306"/>
      <c r="AK90" s="306"/>
      <c r="AL90" s="599"/>
      <c r="AM90" s="600"/>
      <c r="AN90" s="600"/>
      <c r="AO90" s="306"/>
      <c r="AP90" s="212"/>
      <c r="AQ90" s="212"/>
      <c r="AR90" s="213"/>
      <c r="AS90" s="213"/>
      <c r="AT90" s="213"/>
      <c r="AU90" s="213"/>
      <c r="AV90" s="213"/>
      <c r="AW90" s="213"/>
      <c r="AX90" s="213"/>
      <c r="AY90" s="211"/>
      <c r="AZ90" s="211"/>
      <c r="BA90" s="211"/>
      <c r="BB90" s="211"/>
      <c r="BC90" s="211"/>
      <c r="BD90" s="211"/>
      <c r="BE90" s="211"/>
      <c r="BF90" s="211"/>
      <c r="BG90" s="211"/>
      <c r="BH90" s="211"/>
      <c r="BI90" s="211"/>
      <c r="BJ90" s="211"/>
      <c r="BK90" s="211"/>
      <c r="BL90" s="211"/>
    </row>
    <row r="91" spans="1:64" s="657" customFormat="1" ht="30.25" customHeight="1" x14ac:dyDescent="0.25">
      <c r="A91" s="593" t="s">
        <v>3462</v>
      </c>
      <c r="B91" s="593" t="s">
        <v>3463</v>
      </c>
      <c r="C91" s="594" t="str">
        <f t="shared" ref="C91" si="16">CONCATENATE(A91," ",B91)</f>
        <v>MAZDA MX-30 GTE</v>
      </c>
      <c r="D91" s="593" t="s">
        <v>2741</v>
      </c>
      <c r="E91" s="593">
        <v>107</v>
      </c>
      <c r="F91" s="593" t="s">
        <v>2521</v>
      </c>
      <c r="G91" s="642">
        <v>19</v>
      </c>
      <c r="H91" s="593"/>
      <c r="I91" s="593">
        <v>0</v>
      </c>
      <c r="J91" s="595"/>
      <c r="K91" s="595"/>
      <c r="L91" s="595">
        <v>34990</v>
      </c>
      <c r="M91" s="596"/>
      <c r="N91" s="643" t="s">
        <v>2875</v>
      </c>
      <c r="O91" s="659"/>
      <c r="P91" s="601"/>
      <c r="Q91" s="601"/>
      <c r="R91" s="603"/>
      <c r="S91" s="603"/>
      <c r="T91" s="603"/>
      <c r="U91" s="603"/>
      <c r="V91" s="603"/>
      <c r="W91" s="603"/>
      <c r="X91" s="603"/>
      <c r="Y91" s="603"/>
      <c r="Z91" s="603"/>
      <c r="AA91" s="603"/>
      <c r="AB91" s="603"/>
      <c r="AC91" s="603"/>
      <c r="AD91" s="603"/>
      <c r="AE91" s="664"/>
      <c r="AF91" s="611"/>
      <c r="AG91" s="119"/>
      <c r="AH91" s="665"/>
      <c r="AI91" s="119"/>
      <c r="AJ91" s="119"/>
      <c r="AK91" s="119"/>
      <c r="AL91" s="609"/>
      <c r="AM91" s="611"/>
      <c r="AN91" s="611"/>
      <c r="AO91" s="119"/>
      <c r="AP91" s="114"/>
      <c r="AQ91" s="114"/>
      <c r="AR91" s="115"/>
      <c r="AS91" s="115"/>
      <c r="AT91" s="115"/>
      <c r="AU91" s="115"/>
      <c r="AV91" s="115"/>
      <c r="AW91" s="115"/>
      <c r="AX91" s="115"/>
      <c r="AY91" s="122"/>
      <c r="AZ91" s="122"/>
      <c r="BA91" s="122"/>
      <c r="BB91" s="122"/>
      <c r="BC91" s="122"/>
      <c r="BD91" s="122"/>
      <c r="BE91" s="122"/>
      <c r="BF91" s="122"/>
      <c r="BG91" s="122"/>
      <c r="BH91" s="122"/>
      <c r="BI91" s="122"/>
    </row>
    <row r="92" spans="1:64" s="657" customFormat="1" ht="30.25" customHeight="1" x14ac:dyDescent="0.25">
      <c r="A92" s="593" t="s">
        <v>3462</v>
      </c>
      <c r="B92" s="593" t="s">
        <v>3464</v>
      </c>
      <c r="C92" s="594" t="str">
        <f t="shared" si="15"/>
        <v>MAZDA MX-30 GTE +</v>
      </c>
      <c r="D92" s="593" t="s">
        <v>2741</v>
      </c>
      <c r="E92" s="593">
        <v>107</v>
      </c>
      <c r="F92" s="593" t="s">
        <v>2521</v>
      </c>
      <c r="G92" s="642">
        <v>19</v>
      </c>
      <c r="H92" s="593"/>
      <c r="I92" s="593">
        <v>0</v>
      </c>
      <c r="J92" s="595"/>
      <c r="K92" s="595"/>
      <c r="L92" s="595">
        <v>35990</v>
      </c>
      <c r="M92" s="596"/>
      <c r="N92" s="643" t="s">
        <v>2875</v>
      </c>
      <c r="O92" s="659"/>
      <c r="P92" s="601"/>
      <c r="Q92" s="601"/>
      <c r="R92" s="603"/>
      <c r="S92" s="603"/>
      <c r="T92" s="603"/>
      <c r="U92" s="603"/>
      <c r="V92" s="603"/>
      <c r="W92" s="603"/>
      <c r="X92" s="603"/>
      <c r="Y92" s="603"/>
      <c r="Z92" s="603"/>
      <c r="AA92" s="603"/>
      <c r="AB92" s="603"/>
      <c r="AC92" s="603"/>
      <c r="AD92" s="603"/>
      <c r="AE92" s="664"/>
      <c r="AF92" s="611"/>
      <c r="AG92" s="119"/>
      <c r="AH92" s="665"/>
      <c r="AI92" s="119"/>
      <c r="AJ92" s="119"/>
      <c r="AK92" s="119"/>
      <c r="AL92" s="609"/>
      <c r="AM92" s="611"/>
      <c r="AN92" s="611"/>
      <c r="AO92" s="119"/>
      <c r="AP92" s="114"/>
      <c r="AQ92" s="114"/>
      <c r="AR92" s="115"/>
      <c r="AS92" s="115"/>
      <c r="AT92" s="115"/>
      <c r="AU92" s="115"/>
      <c r="AV92" s="115"/>
      <c r="AW92" s="115"/>
      <c r="AX92" s="115"/>
      <c r="AY92" s="122"/>
      <c r="AZ92" s="122"/>
      <c r="BA92" s="122"/>
      <c r="BB92" s="122"/>
      <c r="BC92" s="122"/>
      <c r="BD92" s="122"/>
      <c r="BE92" s="122"/>
      <c r="BF92" s="122"/>
      <c r="BG92" s="122"/>
      <c r="BH92" s="122"/>
      <c r="BI92" s="122"/>
    </row>
    <row r="93" spans="1:64" ht="30.25" customHeight="1" x14ac:dyDescent="0.25">
      <c r="A93" s="593" t="s">
        <v>3306</v>
      </c>
      <c r="B93" s="593" t="s">
        <v>3307</v>
      </c>
      <c r="C93" s="594" t="str">
        <f t="shared" si="15"/>
        <v>Mercedes-Benz EQC 400 4MATIC</v>
      </c>
      <c r="D93" s="593" t="s">
        <v>2741</v>
      </c>
      <c r="E93" s="593">
        <v>300</v>
      </c>
      <c r="F93" s="593" t="s">
        <v>2521</v>
      </c>
      <c r="G93" s="642">
        <v>23.9</v>
      </c>
      <c r="H93" s="593"/>
      <c r="I93" s="593">
        <v>0</v>
      </c>
      <c r="J93" s="595"/>
      <c r="K93" s="595"/>
      <c r="L93" s="595">
        <v>75620</v>
      </c>
      <c r="M93" s="596"/>
      <c r="N93" s="643" t="s">
        <v>2875</v>
      </c>
      <c r="O93" s="576"/>
      <c r="P93" s="601"/>
      <c r="Q93" s="601"/>
      <c r="R93" s="603"/>
      <c r="S93" s="603"/>
      <c r="T93" s="603"/>
      <c r="U93" s="603"/>
      <c r="V93" s="603"/>
      <c r="W93" s="603"/>
      <c r="X93" s="603"/>
      <c r="Y93" s="603"/>
      <c r="Z93" s="603"/>
      <c r="AA93" s="603"/>
      <c r="AB93" s="603"/>
      <c r="AC93" s="603"/>
      <c r="AD93" s="603"/>
      <c r="AE93" s="664"/>
      <c r="AF93" s="611"/>
      <c r="AG93" s="119"/>
      <c r="AH93" s="665"/>
      <c r="AI93" s="119"/>
      <c r="AJ93" s="119"/>
      <c r="AK93" s="119"/>
      <c r="AL93" s="609"/>
      <c r="AM93" s="611"/>
      <c r="AN93" s="611"/>
      <c r="AO93" s="119"/>
      <c r="AP93" s="114"/>
      <c r="AQ93" s="114"/>
      <c r="AR93" s="115"/>
      <c r="AS93" s="115"/>
      <c r="AT93" s="115"/>
      <c r="AU93" s="115"/>
      <c r="AV93" s="115"/>
      <c r="AW93" s="115"/>
      <c r="AX93" s="115"/>
      <c r="BJ93" s="211"/>
      <c r="BK93" s="211"/>
      <c r="BL93" s="211"/>
    </row>
    <row r="94" spans="1:64" s="657" customFormat="1" ht="30.25" customHeight="1" x14ac:dyDescent="0.25">
      <c r="A94" s="593" t="s">
        <v>3306</v>
      </c>
      <c r="B94" s="593" t="s">
        <v>3465</v>
      </c>
      <c r="C94" s="594" t="str">
        <f t="shared" si="15"/>
        <v>Mercedes-Benz EQA 250</v>
      </c>
      <c r="D94" s="593" t="s">
        <v>2741</v>
      </c>
      <c r="E94" s="593">
        <v>140</v>
      </c>
      <c r="F94" s="593" t="s">
        <v>2521</v>
      </c>
      <c r="G94" s="642">
        <v>18.5</v>
      </c>
      <c r="H94" s="593"/>
      <c r="I94" s="593">
        <v>0</v>
      </c>
      <c r="J94" s="595"/>
      <c r="K94" s="595"/>
      <c r="L94" s="595">
        <v>48590</v>
      </c>
      <c r="M94" s="596"/>
      <c r="N94" s="643" t="s">
        <v>2875</v>
      </c>
      <c r="O94" s="659"/>
      <c r="P94" s="601"/>
      <c r="Q94" s="601"/>
      <c r="R94" s="603"/>
      <c r="S94" s="603"/>
      <c r="T94" s="603"/>
      <c r="U94" s="603"/>
      <c r="V94" s="603"/>
      <c r="W94" s="603"/>
      <c r="X94" s="603"/>
      <c r="Y94" s="603"/>
      <c r="Z94" s="603"/>
      <c r="AA94" s="603"/>
      <c r="AB94" s="603"/>
      <c r="AC94" s="603"/>
      <c r="AD94" s="603"/>
      <c r="AE94" s="664"/>
      <c r="AF94" s="611"/>
      <c r="AG94" s="119"/>
      <c r="AH94" s="665"/>
      <c r="AI94" s="119"/>
      <c r="AJ94" s="119"/>
      <c r="AK94" s="119"/>
      <c r="AL94" s="609"/>
      <c r="AM94" s="611"/>
      <c r="AN94" s="611"/>
      <c r="AO94" s="119"/>
      <c r="AP94" s="114"/>
      <c r="AQ94" s="114"/>
      <c r="AR94" s="115"/>
      <c r="AS94" s="115"/>
      <c r="AT94" s="115"/>
      <c r="AU94" s="115"/>
      <c r="AV94" s="115"/>
      <c r="AW94" s="115"/>
      <c r="AX94" s="115"/>
      <c r="AY94" s="122"/>
      <c r="AZ94" s="122"/>
      <c r="BA94" s="122"/>
      <c r="BB94" s="122"/>
      <c r="BC94" s="122"/>
      <c r="BD94" s="122"/>
      <c r="BE94" s="122"/>
      <c r="BF94" s="122"/>
      <c r="BG94" s="122"/>
      <c r="BH94" s="122"/>
      <c r="BI94" s="122"/>
    </row>
    <row r="95" spans="1:64" s="657" customFormat="1" ht="30.25" customHeight="1" x14ac:dyDescent="0.25">
      <c r="A95" s="593" t="s">
        <v>3466</v>
      </c>
      <c r="B95" s="593" t="s">
        <v>3467</v>
      </c>
      <c r="C95" s="594" t="str">
        <f t="shared" si="15"/>
        <v>MINI Cooper SE</v>
      </c>
      <c r="D95" s="593" t="s">
        <v>2741</v>
      </c>
      <c r="E95" s="593">
        <v>135</v>
      </c>
      <c r="F95" s="593" t="s">
        <v>2521</v>
      </c>
      <c r="G95" s="642">
        <v>15.6</v>
      </c>
      <c r="H95" s="593"/>
      <c r="I95" s="593">
        <v>0</v>
      </c>
      <c r="J95" s="595"/>
      <c r="K95" s="595"/>
      <c r="L95" s="595">
        <v>33050</v>
      </c>
      <c r="M95" s="596"/>
      <c r="N95" s="643" t="s">
        <v>2875</v>
      </c>
      <c r="O95" s="659"/>
      <c r="P95" s="601"/>
      <c r="Q95" s="601"/>
      <c r="R95" s="603"/>
      <c r="S95" s="603"/>
      <c r="T95" s="603"/>
      <c r="U95" s="603"/>
      <c r="V95" s="603"/>
      <c r="W95" s="603"/>
      <c r="X95" s="603"/>
      <c r="Y95" s="603"/>
      <c r="Z95" s="603"/>
      <c r="AA95" s="603"/>
      <c r="AB95" s="603"/>
      <c r="AC95" s="603"/>
      <c r="AD95" s="603"/>
      <c r="AE95" s="664"/>
      <c r="AF95" s="611"/>
      <c r="AG95" s="119"/>
      <c r="AH95" s="665"/>
      <c r="AI95" s="119"/>
      <c r="AJ95" s="119"/>
      <c r="AK95" s="119"/>
      <c r="AL95" s="609"/>
      <c r="AM95" s="611"/>
      <c r="AN95" s="611"/>
      <c r="AO95" s="119"/>
      <c r="AP95" s="114"/>
      <c r="AQ95" s="114"/>
      <c r="AR95" s="115"/>
      <c r="AS95" s="115"/>
      <c r="AT95" s="115"/>
      <c r="AU95" s="115"/>
      <c r="AV95" s="115"/>
      <c r="AW95" s="115"/>
      <c r="AX95" s="115"/>
      <c r="AY95" s="122"/>
      <c r="AZ95" s="122"/>
      <c r="BA95" s="122"/>
      <c r="BB95" s="122"/>
      <c r="BC95" s="122"/>
      <c r="BD95" s="122"/>
      <c r="BE95" s="122"/>
      <c r="BF95" s="122"/>
      <c r="BG95" s="122"/>
      <c r="BH95" s="122"/>
      <c r="BI95" s="122"/>
    </row>
    <row r="96" spans="1:64" s="657" customFormat="1" ht="30.25" customHeight="1" x14ac:dyDescent="0.25">
      <c r="A96" s="593" t="s">
        <v>2597</v>
      </c>
      <c r="B96" s="593" t="s">
        <v>3468</v>
      </c>
      <c r="C96" s="594" t="str">
        <f t="shared" si="15"/>
        <v>NISSAN Leaf Visia</v>
      </c>
      <c r="D96" s="593" t="s">
        <v>2741</v>
      </c>
      <c r="E96" s="593">
        <v>110</v>
      </c>
      <c r="F96" s="593" t="s">
        <v>2521</v>
      </c>
      <c r="G96" s="642">
        <v>17.100000000000001</v>
      </c>
      <c r="H96" s="593"/>
      <c r="I96" s="593"/>
      <c r="J96" s="595"/>
      <c r="K96" s="595"/>
      <c r="L96" s="595">
        <v>29990</v>
      </c>
      <c r="M96" s="596"/>
      <c r="N96" s="643" t="s">
        <v>2875</v>
      </c>
      <c r="O96" s="659"/>
      <c r="P96" s="601"/>
      <c r="Q96" s="601"/>
      <c r="R96" s="603"/>
      <c r="S96" s="603"/>
      <c r="T96" s="603"/>
      <c r="U96" s="603"/>
      <c r="V96" s="603"/>
      <c r="W96" s="603"/>
      <c r="X96" s="603"/>
      <c r="Y96" s="603"/>
      <c r="Z96" s="603"/>
      <c r="AA96" s="603"/>
      <c r="AB96" s="603"/>
      <c r="AC96" s="603"/>
      <c r="AD96" s="603"/>
      <c r="AE96" s="664"/>
      <c r="AF96" s="611"/>
      <c r="AG96" s="119"/>
      <c r="AH96" s="665"/>
      <c r="AI96" s="119"/>
      <c r="AJ96" s="119"/>
      <c r="AK96" s="119"/>
      <c r="AL96" s="609"/>
      <c r="AM96" s="611"/>
      <c r="AN96" s="611"/>
      <c r="AO96" s="119"/>
      <c r="AP96" s="114"/>
      <c r="AQ96" s="114"/>
      <c r="AR96" s="115"/>
      <c r="AS96" s="115"/>
      <c r="AT96" s="115"/>
      <c r="AU96" s="115"/>
      <c r="AV96" s="115"/>
      <c r="AW96" s="115"/>
      <c r="AX96" s="115"/>
      <c r="AY96" s="122"/>
      <c r="AZ96" s="122"/>
      <c r="BA96" s="122"/>
      <c r="BB96" s="122"/>
      <c r="BC96" s="122"/>
      <c r="BD96" s="122"/>
      <c r="BE96" s="122"/>
      <c r="BF96" s="122"/>
      <c r="BG96" s="122"/>
      <c r="BH96" s="122"/>
      <c r="BI96" s="122"/>
    </row>
    <row r="97" spans="1:64" ht="30.25" customHeight="1" x14ac:dyDescent="0.25">
      <c r="A97" s="593" t="s">
        <v>2597</v>
      </c>
      <c r="B97" s="593" t="s">
        <v>3126</v>
      </c>
      <c r="C97" s="594" t="str">
        <f t="shared" ref="C97:C184" si="17">CONCATENATE(A97," ",B97)</f>
        <v xml:space="preserve">NISSAN Leaf Acenta </v>
      </c>
      <c r="D97" s="593" t="s">
        <v>2741</v>
      </c>
      <c r="E97" s="593">
        <v>110</v>
      </c>
      <c r="F97" s="593" t="s">
        <v>2521</v>
      </c>
      <c r="G97" s="642">
        <v>17.100000000000001</v>
      </c>
      <c r="H97" s="593"/>
      <c r="I97" s="593">
        <v>0</v>
      </c>
      <c r="J97" s="595" t="s">
        <v>801</v>
      </c>
      <c r="K97" s="595">
        <v>0</v>
      </c>
      <c r="L97" s="595">
        <v>33200</v>
      </c>
      <c r="M97" s="596">
        <v>0</v>
      </c>
      <c r="N97" s="643" t="s">
        <v>2875</v>
      </c>
      <c r="O97" s="576"/>
      <c r="P97" s="601"/>
      <c r="Q97" s="601"/>
      <c r="R97" s="603"/>
      <c r="S97" s="603"/>
      <c r="T97" s="603"/>
      <c r="U97" s="603"/>
      <c r="V97" s="603"/>
      <c r="W97" s="603"/>
      <c r="X97" s="603"/>
      <c r="Y97" s="603"/>
      <c r="Z97" s="603"/>
      <c r="AA97" s="603"/>
      <c r="AB97" s="603"/>
      <c r="AC97" s="603"/>
      <c r="AD97" s="603"/>
      <c r="AE97" s="664"/>
      <c r="AF97" s="611"/>
      <c r="AG97" s="611"/>
      <c r="AH97" s="611"/>
      <c r="AI97" s="611"/>
      <c r="AJ97" s="611"/>
      <c r="AK97" s="611"/>
      <c r="AL97" s="611"/>
      <c r="AM97" s="611"/>
      <c r="AN97" s="611"/>
      <c r="AO97" s="119"/>
      <c r="AP97" s="114"/>
      <c r="AQ97" s="114" t="s">
        <v>2527</v>
      </c>
      <c r="AR97" s="115"/>
      <c r="AS97" s="115"/>
      <c r="AT97" s="115"/>
      <c r="AU97" s="115"/>
      <c r="AV97" s="115"/>
      <c r="AW97" s="115"/>
      <c r="AX97" s="115"/>
      <c r="BJ97" s="211"/>
      <c r="BK97" s="211"/>
      <c r="BL97" s="211"/>
    </row>
    <row r="98" spans="1:64" ht="30.25" customHeight="1" x14ac:dyDescent="0.25">
      <c r="A98" s="593" t="s">
        <v>2597</v>
      </c>
      <c r="B98" s="593" t="s">
        <v>3127</v>
      </c>
      <c r="C98" s="594" t="str">
        <f t="shared" si="17"/>
        <v>NISSAN Leaf N-Connecta</v>
      </c>
      <c r="D98" s="593" t="s">
        <v>2741</v>
      </c>
      <c r="E98" s="593">
        <v>110</v>
      </c>
      <c r="F98" s="593" t="s">
        <v>2521</v>
      </c>
      <c r="G98" s="642">
        <v>17.100000000000001</v>
      </c>
      <c r="H98" s="593"/>
      <c r="I98" s="593">
        <v>0</v>
      </c>
      <c r="J98" s="595" t="s">
        <v>801</v>
      </c>
      <c r="K98" s="595">
        <v>0</v>
      </c>
      <c r="L98" s="595">
        <v>34900</v>
      </c>
      <c r="M98" s="596">
        <v>0</v>
      </c>
      <c r="N98" s="643" t="s">
        <v>2875</v>
      </c>
      <c r="O98" s="576"/>
      <c r="P98" s="601"/>
      <c r="Q98" s="601"/>
      <c r="R98" s="603"/>
      <c r="S98" s="603"/>
      <c r="T98" s="603"/>
      <c r="U98" s="603"/>
      <c r="V98" s="603"/>
      <c r="W98" s="603"/>
      <c r="X98" s="603"/>
      <c r="Y98" s="603"/>
      <c r="Z98" s="603"/>
      <c r="AA98" s="603"/>
      <c r="AB98" s="603"/>
      <c r="AC98" s="603"/>
      <c r="AD98" s="603"/>
      <c r="AE98" s="664"/>
      <c r="AF98" s="611"/>
      <c r="AG98" s="611"/>
      <c r="AH98" s="611"/>
      <c r="AI98" s="611"/>
      <c r="AJ98" s="611"/>
      <c r="AK98" s="611"/>
      <c r="AL98" s="611"/>
      <c r="AM98" s="611"/>
      <c r="AN98" s="611"/>
      <c r="AO98" s="119"/>
      <c r="AP98" s="114"/>
      <c r="AQ98" s="114"/>
      <c r="AR98" s="115"/>
      <c r="AS98" s="115"/>
      <c r="AT98" s="115"/>
      <c r="AU98" s="115"/>
      <c r="AV98" s="115"/>
      <c r="AW98" s="115"/>
      <c r="AX98" s="115"/>
      <c r="BJ98" s="211"/>
      <c r="BK98" s="211"/>
      <c r="BL98" s="211"/>
    </row>
    <row r="99" spans="1:64" ht="30.25" customHeight="1" x14ac:dyDescent="0.25">
      <c r="A99" s="593" t="s">
        <v>2597</v>
      </c>
      <c r="B99" s="593" t="s">
        <v>3128</v>
      </c>
      <c r="C99" s="594" t="str">
        <f t="shared" si="17"/>
        <v xml:space="preserve">NISSAN Leaf Tekna </v>
      </c>
      <c r="D99" s="593" t="s">
        <v>2741</v>
      </c>
      <c r="E99" s="593">
        <v>110</v>
      </c>
      <c r="F99" s="593" t="s">
        <v>2521</v>
      </c>
      <c r="G99" s="642">
        <v>17.100000000000001</v>
      </c>
      <c r="H99" s="593"/>
      <c r="I99" s="593">
        <v>0</v>
      </c>
      <c r="J99" s="595" t="s">
        <v>801</v>
      </c>
      <c r="K99" s="595">
        <v>0</v>
      </c>
      <c r="L99" s="595">
        <v>37050</v>
      </c>
      <c r="M99" s="596"/>
      <c r="N99" s="643" t="s">
        <v>2875</v>
      </c>
      <c r="O99" s="576"/>
      <c r="P99" s="601"/>
      <c r="Q99" s="601"/>
      <c r="R99" s="603"/>
      <c r="S99" s="603"/>
      <c r="T99" s="603"/>
      <c r="U99" s="603"/>
      <c r="V99" s="603"/>
      <c r="W99" s="603"/>
      <c r="X99" s="603"/>
      <c r="Y99" s="603"/>
      <c r="Z99" s="603"/>
      <c r="AA99" s="603"/>
      <c r="AB99" s="603"/>
      <c r="AC99" s="603"/>
      <c r="AD99" s="603"/>
      <c r="AE99" s="664"/>
      <c r="AF99" s="611"/>
      <c r="AG99" s="611"/>
      <c r="AH99" s="611"/>
      <c r="AI99" s="611"/>
      <c r="AJ99" s="611"/>
      <c r="AK99" s="611"/>
      <c r="AL99" s="611"/>
      <c r="AM99" s="611"/>
      <c r="AN99" s="611"/>
      <c r="AO99" s="119"/>
      <c r="AP99" s="114"/>
      <c r="AQ99" s="114"/>
      <c r="AR99" s="115"/>
      <c r="AS99" s="115"/>
      <c r="AT99" s="115"/>
      <c r="AU99" s="115"/>
      <c r="AV99" s="115"/>
      <c r="AW99" s="115"/>
      <c r="AX99" s="115"/>
      <c r="BJ99" s="211"/>
      <c r="BK99" s="211"/>
      <c r="BL99" s="211"/>
    </row>
    <row r="100" spans="1:64" s="657" customFormat="1" ht="30.25" customHeight="1" x14ac:dyDescent="0.25">
      <c r="A100" s="593" t="s">
        <v>2597</v>
      </c>
      <c r="B100" s="593" t="s">
        <v>3469</v>
      </c>
      <c r="C100" s="594" t="str">
        <f t="shared" ref="C100:C102" si="18">CONCATENATE(A100," ",B100)</f>
        <v xml:space="preserve">NISSAN Leaf e+ Acenta </v>
      </c>
      <c r="D100" s="593" t="s">
        <v>2741</v>
      </c>
      <c r="E100" s="593">
        <v>160</v>
      </c>
      <c r="F100" s="593" t="s">
        <v>2521</v>
      </c>
      <c r="G100" s="642">
        <v>18.5</v>
      </c>
      <c r="H100" s="593"/>
      <c r="I100" s="593">
        <v>0</v>
      </c>
      <c r="J100" s="595" t="s">
        <v>801</v>
      </c>
      <c r="K100" s="595">
        <v>0</v>
      </c>
      <c r="L100" s="595">
        <v>38350</v>
      </c>
      <c r="M100" s="596">
        <v>0</v>
      </c>
      <c r="N100" s="643" t="s">
        <v>2875</v>
      </c>
      <c r="O100" s="659"/>
      <c r="P100" s="601"/>
      <c r="Q100" s="601"/>
      <c r="R100" s="603"/>
      <c r="S100" s="603"/>
      <c r="T100" s="603"/>
      <c r="U100" s="603"/>
      <c r="V100" s="603"/>
      <c r="W100" s="603"/>
      <c r="X100" s="603"/>
      <c r="Y100" s="603"/>
      <c r="Z100" s="603"/>
      <c r="AA100" s="603"/>
      <c r="AB100" s="603"/>
      <c r="AC100" s="603"/>
      <c r="AD100" s="603"/>
      <c r="AE100" s="664"/>
      <c r="AF100" s="611"/>
      <c r="AG100" s="611"/>
      <c r="AH100" s="611"/>
      <c r="AI100" s="611"/>
      <c r="AJ100" s="611"/>
      <c r="AK100" s="611"/>
      <c r="AL100" s="611"/>
      <c r="AM100" s="611"/>
      <c r="AN100" s="611"/>
      <c r="AO100" s="119"/>
      <c r="AP100" s="114"/>
      <c r="AQ100" s="114" t="s">
        <v>2527</v>
      </c>
      <c r="AR100" s="115"/>
      <c r="AS100" s="115"/>
      <c r="AT100" s="115"/>
      <c r="AU100" s="115"/>
      <c r="AV100" s="115"/>
      <c r="AW100" s="115"/>
      <c r="AX100" s="115"/>
      <c r="AY100" s="122"/>
      <c r="AZ100" s="122"/>
      <c r="BA100" s="122"/>
      <c r="BB100" s="122"/>
      <c r="BC100" s="122"/>
      <c r="BD100" s="122"/>
      <c r="BE100" s="122"/>
      <c r="BF100" s="122"/>
      <c r="BG100" s="122"/>
      <c r="BH100" s="122"/>
      <c r="BI100" s="122"/>
    </row>
    <row r="101" spans="1:64" s="657" customFormat="1" ht="30.25" customHeight="1" x14ac:dyDescent="0.25">
      <c r="A101" s="593" t="s">
        <v>2597</v>
      </c>
      <c r="B101" s="593" t="s">
        <v>3470</v>
      </c>
      <c r="C101" s="594" t="str">
        <f t="shared" si="18"/>
        <v>NISSAN Leaf e+ N-Connecta</v>
      </c>
      <c r="D101" s="593" t="s">
        <v>2741</v>
      </c>
      <c r="E101" s="593">
        <v>160</v>
      </c>
      <c r="F101" s="593" t="s">
        <v>2521</v>
      </c>
      <c r="G101" s="642">
        <v>18.5</v>
      </c>
      <c r="H101" s="593"/>
      <c r="I101" s="593">
        <v>0</v>
      </c>
      <c r="J101" s="595" t="s">
        <v>801</v>
      </c>
      <c r="K101" s="595">
        <v>0</v>
      </c>
      <c r="L101" s="595">
        <v>39900</v>
      </c>
      <c r="M101" s="596">
        <v>0</v>
      </c>
      <c r="N101" s="643" t="s">
        <v>2875</v>
      </c>
      <c r="O101" s="659"/>
      <c r="P101" s="601"/>
      <c r="Q101" s="601"/>
      <c r="R101" s="603"/>
      <c r="S101" s="603"/>
      <c r="T101" s="603"/>
      <c r="U101" s="603"/>
      <c r="V101" s="603"/>
      <c r="W101" s="603"/>
      <c r="X101" s="603"/>
      <c r="Y101" s="603"/>
      <c r="Z101" s="603"/>
      <c r="AA101" s="603"/>
      <c r="AB101" s="603"/>
      <c r="AC101" s="603"/>
      <c r="AD101" s="603"/>
      <c r="AE101" s="664"/>
      <c r="AF101" s="611"/>
      <c r="AG101" s="611"/>
      <c r="AH101" s="611"/>
      <c r="AI101" s="611"/>
      <c r="AJ101" s="611"/>
      <c r="AK101" s="611"/>
      <c r="AL101" s="611"/>
      <c r="AM101" s="611"/>
      <c r="AN101" s="611"/>
      <c r="AO101" s="119"/>
      <c r="AP101" s="114"/>
      <c r="AQ101" s="114"/>
      <c r="AR101" s="115"/>
      <c r="AS101" s="115"/>
      <c r="AT101" s="115"/>
      <c r="AU101" s="115"/>
      <c r="AV101" s="115"/>
      <c r="AW101" s="115"/>
      <c r="AX101" s="115"/>
      <c r="AY101" s="122"/>
      <c r="AZ101" s="122"/>
      <c r="BA101" s="122"/>
      <c r="BB101" s="122"/>
      <c r="BC101" s="122"/>
      <c r="BD101" s="122"/>
      <c r="BE101" s="122"/>
      <c r="BF101" s="122"/>
      <c r="BG101" s="122"/>
      <c r="BH101" s="122"/>
      <c r="BI101" s="122"/>
    </row>
    <row r="102" spans="1:64" s="657" customFormat="1" ht="30.25" customHeight="1" x14ac:dyDescent="0.25">
      <c r="A102" s="593" t="s">
        <v>2597</v>
      </c>
      <c r="B102" s="593" t="s">
        <v>3471</v>
      </c>
      <c r="C102" s="594" t="str">
        <f t="shared" si="18"/>
        <v xml:space="preserve">NISSAN Leaf e+ Tekna </v>
      </c>
      <c r="D102" s="593" t="s">
        <v>2741</v>
      </c>
      <c r="E102" s="593">
        <v>160</v>
      </c>
      <c r="F102" s="593" t="s">
        <v>2521</v>
      </c>
      <c r="G102" s="642">
        <v>18.5</v>
      </c>
      <c r="H102" s="593"/>
      <c r="I102" s="593">
        <v>0</v>
      </c>
      <c r="J102" s="595" t="s">
        <v>801</v>
      </c>
      <c r="K102" s="595">
        <v>0</v>
      </c>
      <c r="L102" s="595">
        <v>42050</v>
      </c>
      <c r="M102" s="596"/>
      <c r="N102" s="643" t="s">
        <v>2875</v>
      </c>
      <c r="O102" s="659"/>
      <c r="P102" s="601"/>
      <c r="Q102" s="601"/>
      <c r="R102" s="603"/>
      <c r="S102" s="603"/>
      <c r="T102" s="603"/>
      <c r="U102" s="603"/>
      <c r="V102" s="603"/>
      <c r="W102" s="603"/>
      <c r="X102" s="603"/>
      <c r="Y102" s="603"/>
      <c r="Z102" s="603"/>
      <c r="AA102" s="603"/>
      <c r="AB102" s="603"/>
      <c r="AC102" s="603"/>
      <c r="AD102" s="603"/>
      <c r="AE102" s="664"/>
      <c r="AF102" s="611"/>
      <c r="AG102" s="611"/>
      <c r="AH102" s="611"/>
      <c r="AI102" s="611"/>
      <c r="AJ102" s="611"/>
      <c r="AK102" s="611"/>
      <c r="AL102" s="611"/>
      <c r="AM102" s="611"/>
      <c r="AN102" s="611"/>
      <c r="AO102" s="119"/>
      <c r="AP102" s="114"/>
      <c r="AQ102" s="114"/>
      <c r="AR102" s="115"/>
      <c r="AS102" s="115"/>
      <c r="AT102" s="115"/>
      <c r="AU102" s="115"/>
      <c r="AV102" s="115"/>
      <c r="AW102" s="115"/>
      <c r="AX102" s="115"/>
      <c r="AY102" s="122"/>
      <c r="AZ102" s="122"/>
      <c r="BA102" s="122"/>
      <c r="BB102" s="122"/>
      <c r="BC102" s="122"/>
      <c r="BD102" s="122"/>
      <c r="BE102" s="122"/>
      <c r="BF102" s="122"/>
      <c r="BG102" s="122"/>
      <c r="BH102" s="122"/>
      <c r="BI102" s="122"/>
    </row>
    <row r="103" spans="1:64" ht="30.25" customHeight="1" x14ac:dyDescent="0.25">
      <c r="A103" s="593" t="s">
        <v>2597</v>
      </c>
      <c r="B103" s="593" t="s">
        <v>3338</v>
      </c>
      <c r="C103" s="594" t="str">
        <f t="shared" si="17"/>
        <v>NISSAN e-NV200 EVALIA 5-Sitzer/7-Sitzer</v>
      </c>
      <c r="D103" s="593" t="s">
        <v>2741</v>
      </c>
      <c r="E103" s="593">
        <v>80</v>
      </c>
      <c r="F103" s="593" t="s">
        <v>2521</v>
      </c>
      <c r="G103" s="642">
        <v>25.9</v>
      </c>
      <c r="H103" s="593"/>
      <c r="I103" s="593">
        <v>0</v>
      </c>
      <c r="J103" s="595" t="s">
        <v>801</v>
      </c>
      <c r="K103" s="595">
        <v>0</v>
      </c>
      <c r="L103" s="595">
        <v>44200</v>
      </c>
      <c r="M103" s="596"/>
      <c r="N103" s="643" t="s">
        <v>2875</v>
      </c>
      <c r="O103" s="576" t="s">
        <v>2973</v>
      </c>
      <c r="P103" s="601"/>
      <c r="Q103" s="601"/>
      <c r="R103" s="603"/>
      <c r="S103" s="603"/>
      <c r="T103" s="603"/>
      <c r="U103" s="603"/>
      <c r="V103" s="603"/>
      <c r="W103" s="603"/>
      <c r="X103" s="603"/>
      <c r="Y103" s="603"/>
      <c r="Z103" s="603"/>
      <c r="AA103" s="603"/>
      <c r="AB103" s="603"/>
      <c r="AC103" s="603"/>
      <c r="AD103" s="603"/>
      <c r="AE103" s="664"/>
      <c r="AF103" s="611"/>
      <c r="AG103" s="611"/>
      <c r="AH103" s="611"/>
      <c r="AI103" s="611"/>
      <c r="AJ103" s="611"/>
      <c r="AK103" s="611"/>
      <c r="AL103" s="611"/>
      <c r="AM103" s="611"/>
      <c r="AN103" s="611"/>
      <c r="AO103" s="119"/>
      <c r="AP103" s="114"/>
      <c r="AQ103" s="114"/>
      <c r="AR103" s="115"/>
      <c r="AS103" s="115"/>
      <c r="AT103" s="115"/>
      <c r="AU103" s="115"/>
      <c r="AV103" s="115"/>
      <c r="AW103" s="115"/>
      <c r="AX103" s="115"/>
      <c r="BJ103" s="211"/>
      <c r="BK103" s="211"/>
      <c r="BL103" s="211"/>
    </row>
    <row r="104" spans="1:64" ht="30.25" customHeight="1" x14ac:dyDescent="0.25">
      <c r="A104" s="593" t="s">
        <v>2597</v>
      </c>
      <c r="B104" s="593" t="s">
        <v>3335</v>
      </c>
      <c r="C104" s="594" t="str">
        <f t="shared" si="17"/>
        <v>NISSAN e-NV200 Kastenwagen 2-Sitzer (PRO)</v>
      </c>
      <c r="D104" s="593" t="s">
        <v>2741</v>
      </c>
      <c r="E104" s="593">
        <v>80</v>
      </c>
      <c r="F104" s="593" t="s">
        <v>2521</v>
      </c>
      <c r="G104" s="642">
        <v>25.9</v>
      </c>
      <c r="H104" s="593"/>
      <c r="I104" s="593">
        <v>0</v>
      </c>
      <c r="J104" s="595"/>
      <c r="K104" s="595"/>
      <c r="L104" s="595">
        <v>37200</v>
      </c>
      <c r="M104" s="596"/>
      <c r="N104" s="643" t="s">
        <v>2875</v>
      </c>
      <c r="O104" s="576" t="s">
        <v>2973</v>
      </c>
      <c r="P104" s="601"/>
      <c r="Q104" s="601"/>
      <c r="R104" s="603"/>
      <c r="S104" s="603"/>
      <c r="T104" s="603"/>
      <c r="U104" s="603"/>
      <c r="V104" s="603"/>
      <c r="W104" s="603"/>
      <c r="X104" s="603"/>
      <c r="Y104" s="603"/>
      <c r="Z104" s="603"/>
      <c r="AA104" s="603"/>
      <c r="AB104" s="603"/>
      <c r="AC104" s="603"/>
      <c r="AD104" s="603"/>
      <c r="AE104" s="664"/>
      <c r="AF104" s="611"/>
      <c r="AG104" s="611"/>
      <c r="AH104" s="611"/>
      <c r="AI104" s="611"/>
      <c r="AJ104" s="611"/>
      <c r="AK104" s="611"/>
      <c r="AL104" s="611"/>
      <c r="AM104" s="611"/>
      <c r="AN104" s="611"/>
      <c r="AO104" s="119"/>
      <c r="AP104" s="114"/>
      <c r="AQ104" s="114"/>
      <c r="AR104" s="115"/>
      <c r="AS104" s="115"/>
      <c r="AT104" s="115"/>
      <c r="AU104" s="115"/>
      <c r="AV104" s="115"/>
      <c r="AW104" s="115"/>
      <c r="AX104" s="115"/>
      <c r="BJ104" s="211"/>
      <c r="BK104" s="211"/>
      <c r="BL104" s="211"/>
    </row>
    <row r="105" spans="1:64" ht="30.25" customHeight="1" x14ac:dyDescent="0.25">
      <c r="A105" s="593" t="s">
        <v>2597</v>
      </c>
      <c r="B105" s="593" t="s">
        <v>3336</v>
      </c>
      <c r="C105" s="594" t="str">
        <f t="shared" si="17"/>
        <v>NISSAN e-NV200 Kastenwagen 2-Sitzer (COMFORT)</v>
      </c>
      <c r="D105" s="593" t="s">
        <v>2741</v>
      </c>
      <c r="E105" s="593">
        <v>80</v>
      </c>
      <c r="F105" s="593" t="s">
        <v>2521</v>
      </c>
      <c r="G105" s="642">
        <v>25.9</v>
      </c>
      <c r="H105" s="593"/>
      <c r="I105" s="593">
        <v>0</v>
      </c>
      <c r="J105" s="595"/>
      <c r="K105" s="595"/>
      <c r="L105" s="595">
        <v>40080</v>
      </c>
      <c r="M105" s="596"/>
      <c r="N105" s="643" t="s">
        <v>2875</v>
      </c>
      <c r="O105" s="576" t="s">
        <v>2973</v>
      </c>
      <c r="P105" s="601"/>
      <c r="Q105" s="601"/>
      <c r="R105" s="603"/>
      <c r="S105" s="603"/>
      <c r="T105" s="603"/>
      <c r="U105" s="603"/>
      <c r="V105" s="603"/>
      <c r="W105" s="603"/>
      <c r="X105" s="603"/>
      <c r="Y105" s="603"/>
      <c r="Z105" s="603"/>
      <c r="AA105" s="603"/>
      <c r="AB105" s="603"/>
      <c r="AC105" s="603"/>
      <c r="AD105" s="603"/>
      <c r="AE105" s="664"/>
      <c r="AF105" s="611"/>
      <c r="AG105" s="611"/>
      <c r="AH105" s="611"/>
      <c r="AI105" s="611"/>
      <c r="AJ105" s="611"/>
      <c r="AK105" s="611"/>
      <c r="AL105" s="611"/>
      <c r="AM105" s="611"/>
      <c r="AN105" s="611"/>
      <c r="AO105" s="119"/>
      <c r="AP105" s="114"/>
      <c r="AQ105" s="114"/>
      <c r="AR105" s="115"/>
      <c r="AS105" s="115"/>
      <c r="AT105" s="115"/>
      <c r="AU105" s="115"/>
      <c r="AV105" s="115"/>
      <c r="AW105" s="115"/>
      <c r="AX105" s="115"/>
      <c r="BJ105" s="211"/>
      <c r="BK105" s="211"/>
      <c r="BL105" s="211"/>
    </row>
    <row r="106" spans="1:64" s="657" customFormat="1" ht="30.25" customHeight="1" x14ac:dyDescent="0.25">
      <c r="A106" s="593" t="s">
        <v>2597</v>
      </c>
      <c r="B106" s="593" t="s">
        <v>3472</v>
      </c>
      <c r="C106" s="594" t="str">
        <f t="shared" si="17"/>
        <v>NISSAN e-NV200 Kastenwagen 2-Sitzer (COMFORT Kombi)</v>
      </c>
      <c r="D106" s="593" t="s">
        <v>2741</v>
      </c>
      <c r="E106" s="593">
        <v>80</v>
      </c>
      <c r="F106" s="593" t="s">
        <v>2521</v>
      </c>
      <c r="G106" s="642">
        <v>25.9</v>
      </c>
      <c r="H106" s="593"/>
      <c r="I106" s="593">
        <v>0</v>
      </c>
      <c r="J106" s="595"/>
      <c r="K106" s="595"/>
      <c r="L106" s="595">
        <v>42520</v>
      </c>
      <c r="M106" s="596"/>
      <c r="N106" s="643" t="s">
        <v>2875</v>
      </c>
      <c r="O106" s="659"/>
      <c r="P106" s="601"/>
      <c r="Q106" s="601"/>
      <c r="R106" s="603"/>
      <c r="S106" s="603"/>
      <c r="T106" s="603"/>
      <c r="U106" s="603"/>
      <c r="V106" s="603"/>
      <c r="W106" s="603"/>
      <c r="X106" s="603"/>
      <c r="Y106" s="603"/>
      <c r="Z106" s="603"/>
      <c r="AA106" s="603"/>
      <c r="AB106" s="603"/>
      <c r="AC106" s="603"/>
      <c r="AD106" s="603"/>
      <c r="AE106" s="664"/>
      <c r="AF106" s="611"/>
      <c r="AG106" s="611"/>
      <c r="AH106" s="611"/>
      <c r="AI106" s="611"/>
      <c r="AJ106" s="611"/>
      <c r="AK106" s="611"/>
      <c r="AL106" s="611"/>
      <c r="AM106" s="611"/>
      <c r="AN106" s="611"/>
      <c r="AO106" s="119"/>
      <c r="AP106" s="114"/>
      <c r="AQ106" s="114"/>
      <c r="AR106" s="115"/>
      <c r="AS106" s="115"/>
      <c r="AT106" s="115"/>
      <c r="AU106" s="115"/>
      <c r="AV106" s="115"/>
      <c r="AW106" s="115"/>
      <c r="AX106" s="115"/>
      <c r="AY106" s="122"/>
      <c r="AZ106" s="122"/>
      <c r="BA106" s="122"/>
      <c r="BB106" s="122"/>
      <c r="BC106" s="122"/>
      <c r="BD106" s="122"/>
      <c r="BE106" s="122"/>
      <c r="BF106" s="122"/>
      <c r="BG106" s="122"/>
      <c r="BH106" s="122"/>
      <c r="BI106" s="122"/>
    </row>
    <row r="107" spans="1:64" ht="30.25" customHeight="1" x14ac:dyDescent="0.25">
      <c r="A107" s="593" t="s">
        <v>2597</v>
      </c>
      <c r="B107" s="593" t="s">
        <v>3337</v>
      </c>
      <c r="C107" s="594" t="str">
        <f t="shared" si="17"/>
        <v>NISSAN e-NV200 Kastenwagen 2-Sitzer (PREMIUM)</v>
      </c>
      <c r="D107" s="593" t="s">
        <v>2741</v>
      </c>
      <c r="E107" s="593">
        <v>80</v>
      </c>
      <c r="F107" s="593" t="s">
        <v>2521</v>
      </c>
      <c r="G107" s="642">
        <v>25.9</v>
      </c>
      <c r="H107" s="593"/>
      <c r="I107" s="593">
        <v>0</v>
      </c>
      <c r="J107" s="595"/>
      <c r="K107" s="595"/>
      <c r="L107" s="595">
        <v>41760</v>
      </c>
      <c r="M107" s="596"/>
      <c r="N107" s="643" t="s">
        <v>2875</v>
      </c>
      <c r="O107" s="576" t="s">
        <v>2973</v>
      </c>
      <c r="P107" s="603"/>
      <c r="Q107" s="601"/>
      <c r="R107" s="603"/>
      <c r="S107" s="603"/>
      <c r="T107" s="603"/>
      <c r="U107" s="603"/>
      <c r="V107" s="603"/>
      <c r="W107" s="603"/>
      <c r="X107" s="603"/>
      <c r="Y107" s="603"/>
      <c r="Z107" s="603"/>
      <c r="AA107" s="603"/>
      <c r="AB107" s="603"/>
      <c r="AC107" s="603"/>
      <c r="AD107" s="603"/>
      <c r="AE107" s="664"/>
      <c r="AF107" s="611"/>
      <c r="AG107" s="611"/>
      <c r="AH107" s="611"/>
      <c r="AI107" s="611"/>
      <c r="AJ107" s="611"/>
      <c r="AK107" s="611"/>
      <c r="AL107" s="611"/>
      <c r="AM107" s="611"/>
      <c r="AN107" s="611"/>
      <c r="AO107" s="119"/>
      <c r="AP107" s="114"/>
      <c r="AQ107" s="114"/>
      <c r="AR107" s="115"/>
      <c r="AS107" s="115"/>
      <c r="AT107" s="115"/>
      <c r="AU107" s="115"/>
      <c r="AV107" s="115"/>
      <c r="AW107" s="115"/>
      <c r="AX107" s="115"/>
      <c r="BJ107" s="211"/>
      <c r="BK107" s="211"/>
      <c r="BL107" s="211"/>
    </row>
    <row r="108" spans="1:64" ht="30.25" customHeight="1" x14ac:dyDescent="0.25">
      <c r="A108" s="593" t="s">
        <v>2592</v>
      </c>
      <c r="B108" s="593" t="s">
        <v>3308</v>
      </c>
      <c r="C108" s="594" t="str">
        <f t="shared" si="17"/>
        <v>OPEL Corsa-e-EDITION</v>
      </c>
      <c r="D108" s="593" t="s">
        <v>2741</v>
      </c>
      <c r="E108" s="593">
        <v>100</v>
      </c>
      <c r="F108" s="593" t="s">
        <v>2521</v>
      </c>
      <c r="G108" s="642">
        <v>16.8</v>
      </c>
      <c r="H108" s="593"/>
      <c r="I108" s="593">
        <v>0</v>
      </c>
      <c r="J108" s="595"/>
      <c r="K108" s="595"/>
      <c r="L108" s="595">
        <v>29999</v>
      </c>
      <c r="M108" s="596"/>
      <c r="N108" s="643" t="s">
        <v>2875</v>
      </c>
      <c r="O108" s="576" t="s">
        <v>2973</v>
      </c>
      <c r="P108" s="603"/>
      <c r="Q108" s="603"/>
      <c r="R108" s="603"/>
      <c r="S108" s="603"/>
      <c r="T108" s="603"/>
      <c r="U108" s="603"/>
      <c r="V108" s="603"/>
      <c r="W108" s="603"/>
      <c r="X108" s="603"/>
      <c r="Y108" s="603"/>
      <c r="Z108" s="603"/>
      <c r="AA108" s="603"/>
      <c r="AB108" s="603"/>
      <c r="AC108" s="603"/>
      <c r="AD108" s="603"/>
      <c r="AE108" s="664"/>
      <c r="AF108" s="611"/>
      <c r="AG108" s="611"/>
      <c r="AH108" s="611"/>
      <c r="AI108" s="611"/>
      <c r="AJ108" s="611"/>
      <c r="AK108" s="611"/>
      <c r="AL108" s="611"/>
      <c r="AM108" s="611"/>
      <c r="AN108" s="611"/>
      <c r="AO108" s="119"/>
      <c r="AP108" s="114"/>
      <c r="AQ108" s="114"/>
      <c r="AR108" s="115"/>
      <c r="AS108" s="115"/>
      <c r="AT108" s="115"/>
      <c r="AU108" s="115"/>
      <c r="AV108" s="115"/>
      <c r="AW108" s="115"/>
      <c r="AX108" s="115"/>
      <c r="BJ108" s="211"/>
      <c r="BK108" s="211"/>
      <c r="BL108" s="211"/>
    </row>
    <row r="109" spans="1:64" ht="30.25" customHeight="1" x14ac:dyDescent="0.25">
      <c r="A109" s="593" t="s">
        <v>2592</v>
      </c>
      <c r="B109" s="593" t="s">
        <v>3309</v>
      </c>
      <c r="C109" s="594" t="str">
        <f t="shared" si="17"/>
        <v>OPEL Corsa-e-ELEGANCE</v>
      </c>
      <c r="D109" s="593" t="s">
        <v>2741</v>
      </c>
      <c r="E109" s="593">
        <v>100</v>
      </c>
      <c r="F109" s="593" t="s">
        <v>2521</v>
      </c>
      <c r="G109" s="642">
        <v>16.8</v>
      </c>
      <c r="H109" s="593"/>
      <c r="I109" s="593">
        <v>0</v>
      </c>
      <c r="J109" s="595"/>
      <c r="K109" s="595"/>
      <c r="L109" s="595">
        <v>31699</v>
      </c>
      <c r="M109" s="596"/>
      <c r="N109" s="643" t="s">
        <v>2875</v>
      </c>
      <c r="O109" s="576"/>
      <c r="P109" s="603"/>
      <c r="Q109" s="603"/>
      <c r="R109" s="603"/>
      <c r="S109" s="603"/>
      <c r="T109" s="603"/>
      <c r="U109" s="603"/>
      <c r="V109" s="603"/>
      <c r="W109" s="603"/>
      <c r="X109" s="603"/>
      <c r="Y109" s="603"/>
      <c r="Z109" s="603"/>
      <c r="AA109" s="603"/>
      <c r="AB109" s="603"/>
      <c r="AC109" s="603"/>
      <c r="AD109" s="603"/>
      <c r="AE109" s="664"/>
      <c r="AF109" s="611"/>
      <c r="AG109" s="611"/>
      <c r="AH109" s="611"/>
      <c r="AI109" s="611"/>
      <c r="AJ109" s="611"/>
      <c r="AK109" s="611"/>
      <c r="AL109" s="611"/>
      <c r="AM109" s="611"/>
      <c r="AN109" s="611"/>
      <c r="AO109" s="119"/>
      <c r="AP109" s="114"/>
      <c r="AQ109" s="114"/>
      <c r="AR109" s="115"/>
      <c r="AS109" s="115"/>
      <c r="AT109" s="115"/>
      <c r="AU109" s="115"/>
      <c r="AV109" s="115"/>
      <c r="AW109" s="115"/>
      <c r="AX109" s="115"/>
      <c r="BJ109" s="211"/>
      <c r="BK109" s="211"/>
      <c r="BL109" s="211"/>
    </row>
    <row r="110" spans="1:64" s="657" customFormat="1" ht="30.25" customHeight="1" x14ac:dyDescent="0.25">
      <c r="A110" s="593" t="s">
        <v>2592</v>
      </c>
      <c r="B110" s="593" t="s">
        <v>3473</v>
      </c>
      <c r="C110" s="594" t="str">
        <f t="shared" ref="C110:C116" si="19">CONCATENATE(A110," ",B110)</f>
        <v>OPEL Corsa-e-GS-LINE</v>
      </c>
      <c r="D110" s="593" t="s">
        <v>2741</v>
      </c>
      <c r="E110" s="593">
        <v>100</v>
      </c>
      <c r="F110" s="593" t="s">
        <v>2521</v>
      </c>
      <c r="G110" s="642">
        <v>16.8</v>
      </c>
      <c r="H110" s="593"/>
      <c r="I110" s="593">
        <v>0</v>
      </c>
      <c r="J110" s="595"/>
      <c r="K110" s="595"/>
      <c r="L110" s="595">
        <v>31799</v>
      </c>
      <c r="M110" s="596"/>
      <c r="N110" s="643" t="s">
        <v>2875</v>
      </c>
      <c r="O110" s="659"/>
      <c r="P110" s="603"/>
      <c r="Q110" s="603"/>
      <c r="R110" s="603"/>
      <c r="S110" s="603"/>
      <c r="T110" s="603"/>
      <c r="U110" s="603"/>
      <c r="V110" s="603"/>
      <c r="W110" s="603"/>
      <c r="X110" s="603"/>
      <c r="Y110" s="603"/>
      <c r="Z110" s="603"/>
      <c r="AA110" s="603"/>
      <c r="AB110" s="603"/>
      <c r="AC110" s="603"/>
      <c r="AD110" s="603"/>
      <c r="AE110" s="664"/>
      <c r="AF110" s="611"/>
      <c r="AG110" s="611"/>
      <c r="AH110" s="611"/>
      <c r="AI110" s="611"/>
      <c r="AJ110" s="611"/>
      <c r="AK110" s="611"/>
      <c r="AL110" s="611"/>
      <c r="AM110" s="611"/>
      <c r="AN110" s="611"/>
      <c r="AO110" s="119"/>
      <c r="AP110" s="114"/>
      <c r="AQ110" s="114"/>
      <c r="AR110" s="115"/>
      <c r="AS110" s="115"/>
      <c r="AT110" s="115"/>
      <c r="AU110" s="115"/>
      <c r="AV110" s="115"/>
      <c r="AW110" s="115"/>
      <c r="AX110" s="115"/>
      <c r="AY110" s="122"/>
      <c r="AZ110" s="122"/>
      <c r="BA110" s="122"/>
      <c r="BB110" s="122"/>
      <c r="BC110" s="122"/>
      <c r="BD110" s="122"/>
      <c r="BE110" s="122"/>
      <c r="BF110" s="122"/>
      <c r="BG110" s="122"/>
      <c r="BH110" s="122"/>
      <c r="BI110" s="122"/>
    </row>
    <row r="111" spans="1:64" s="657" customFormat="1" ht="30.25" customHeight="1" x14ac:dyDescent="0.25">
      <c r="A111" s="593" t="s">
        <v>2592</v>
      </c>
      <c r="B111" s="593" t="s">
        <v>3474</v>
      </c>
      <c r="C111" s="594" t="str">
        <f t="shared" si="19"/>
        <v>OPEL Mokka-e</v>
      </c>
      <c r="D111" s="593" t="s">
        <v>2741</v>
      </c>
      <c r="E111" s="593">
        <v>100</v>
      </c>
      <c r="F111" s="593" t="s">
        <v>2521</v>
      </c>
      <c r="G111" s="642">
        <v>17.600000000000001</v>
      </c>
      <c r="H111" s="593"/>
      <c r="I111" s="593">
        <v>0</v>
      </c>
      <c r="J111" s="595"/>
      <c r="K111" s="595"/>
      <c r="L111" s="595">
        <v>34439</v>
      </c>
      <c r="M111" s="596"/>
      <c r="N111" s="643" t="s">
        <v>2875</v>
      </c>
      <c r="O111" s="659"/>
      <c r="P111" s="603"/>
      <c r="Q111" s="603"/>
      <c r="R111" s="603"/>
      <c r="S111" s="603"/>
      <c r="T111" s="603"/>
      <c r="U111" s="603"/>
      <c r="V111" s="603"/>
      <c r="W111" s="603"/>
      <c r="X111" s="603"/>
      <c r="Y111" s="603"/>
      <c r="Z111" s="603"/>
      <c r="AA111" s="603"/>
      <c r="AB111" s="603"/>
      <c r="AC111" s="603"/>
      <c r="AD111" s="603"/>
      <c r="AE111" s="664"/>
      <c r="AF111" s="611"/>
      <c r="AG111" s="611"/>
      <c r="AH111" s="611"/>
      <c r="AI111" s="611"/>
      <c r="AJ111" s="611"/>
      <c r="AK111" s="611"/>
      <c r="AL111" s="611"/>
      <c r="AM111" s="611"/>
      <c r="AN111" s="611"/>
      <c r="AO111" s="119"/>
      <c r="AP111" s="114"/>
      <c r="AQ111" s="114"/>
      <c r="AR111" s="115"/>
      <c r="AS111" s="115"/>
      <c r="AT111" s="115"/>
      <c r="AU111" s="115"/>
      <c r="AV111" s="115"/>
      <c r="AW111" s="115"/>
      <c r="AX111" s="115"/>
      <c r="AY111" s="122"/>
      <c r="AZ111" s="122"/>
      <c r="BA111" s="122"/>
      <c r="BB111" s="122"/>
      <c r="BC111" s="122"/>
      <c r="BD111" s="122"/>
      <c r="BE111" s="122"/>
      <c r="BF111" s="122"/>
      <c r="BG111" s="122"/>
      <c r="BH111" s="122"/>
      <c r="BI111" s="122"/>
    </row>
    <row r="112" spans="1:64" s="657" customFormat="1" ht="30.25" customHeight="1" x14ac:dyDescent="0.25">
      <c r="A112" s="593" t="s">
        <v>2592</v>
      </c>
      <c r="B112" s="593" t="s">
        <v>3475</v>
      </c>
      <c r="C112" s="594" t="str">
        <f t="shared" si="19"/>
        <v>OPEL Mokka-e-EDITION</v>
      </c>
      <c r="D112" s="593" t="s">
        <v>2741</v>
      </c>
      <c r="E112" s="593">
        <v>100</v>
      </c>
      <c r="F112" s="593" t="s">
        <v>2521</v>
      </c>
      <c r="G112" s="642">
        <v>17.600000000000001</v>
      </c>
      <c r="H112" s="593"/>
      <c r="I112" s="593">
        <v>0</v>
      </c>
      <c r="J112" s="595"/>
      <c r="K112" s="595"/>
      <c r="L112" s="595">
        <v>35039</v>
      </c>
      <c r="M112" s="596"/>
      <c r="N112" s="643" t="s">
        <v>2875</v>
      </c>
      <c r="O112" s="659"/>
      <c r="P112" s="603"/>
      <c r="Q112" s="603"/>
      <c r="R112" s="603"/>
      <c r="S112" s="603"/>
      <c r="T112" s="603"/>
      <c r="U112" s="603"/>
      <c r="V112" s="603"/>
      <c r="W112" s="603"/>
      <c r="X112" s="603"/>
      <c r="Y112" s="603"/>
      <c r="Z112" s="603"/>
      <c r="AA112" s="603"/>
      <c r="AB112" s="603"/>
      <c r="AC112" s="603"/>
      <c r="AD112" s="603"/>
      <c r="AE112" s="664"/>
      <c r="AF112" s="611"/>
      <c r="AG112" s="611"/>
      <c r="AH112" s="611"/>
      <c r="AI112" s="611"/>
      <c r="AJ112" s="611"/>
      <c r="AK112" s="611"/>
      <c r="AL112" s="611"/>
      <c r="AM112" s="611"/>
      <c r="AN112" s="611"/>
      <c r="AO112" s="119"/>
      <c r="AP112" s="114"/>
      <c r="AQ112" s="114"/>
      <c r="AR112" s="115"/>
      <c r="AS112" s="115"/>
      <c r="AT112" s="115"/>
      <c r="AU112" s="115"/>
      <c r="AV112" s="115"/>
      <c r="AW112" s="115"/>
      <c r="AX112" s="115"/>
      <c r="AY112" s="122"/>
      <c r="AZ112" s="122"/>
      <c r="BA112" s="122"/>
      <c r="BB112" s="122"/>
      <c r="BC112" s="122"/>
      <c r="BD112" s="122"/>
      <c r="BE112" s="122"/>
      <c r="BF112" s="122"/>
      <c r="BG112" s="122"/>
      <c r="BH112" s="122"/>
      <c r="BI112" s="122"/>
    </row>
    <row r="113" spans="1:61" s="657" customFormat="1" ht="30.25" customHeight="1" x14ac:dyDescent="0.25">
      <c r="A113" s="593" t="s">
        <v>2592</v>
      </c>
      <c r="B113" s="593" t="s">
        <v>3476</v>
      </c>
      <c r="C113" s="594" t="str">
        <f t="shared" si="19"/>
        <v>OPEL Mokka-e-ELEGANCE</v>
      </c>
      <c r="D113" s="593" t="s">
        <v>2741</v>
      </c>
      <c r="E113" s="593">
        <v>100</v>
      </c>
      <c r="F113" s="593" t="s">
        <v>2521</v>
      </c>
      <c r="G113" s="642">
        <v>17.600000000000001</v>
      </c>
      <c r="H113" s="593"/>
      <c r="I113" s="593">
        <v>0</v>
      </c>
      <c r="J113" s="595"/>
      <c r="K113" s="595"/>
      <c r="L113" s="595">
        <v>37339</v>
      </c>
      <c r="M113" s="596"/>
      <c r="N113" s="643" t="s">
        <v>2875</v>
      </c>
      <c r="O113" s="659"/>
      <c r="P113" s="603"/>
      <c r="Q113" s="603"/>
      <c r="R113" s="603"/>
      <c r="S113" s="603"/>
      <c r="T113" s="603"/>
      <c r="U113" s="603"/>
      <c r="V113" s="603"/>
      <c r="W113" s="603"/>
      <c r="X113" s="603"/>
      <c r="Y113" s="603"/>
      <c r="Z113" s="603"/>
      <c r="AA113" s="603"/>
      <c r="AB113" s="603"/>
      <c r="AC113" s="603"/>
      <c r="AD113" s="603"/>
      <c r="AE113" s="664"/>
      <c r="AF113" s="611"/>
      <c r="AG113" s="611"/>
      <c r="AH113" s="611"/>
      <c r="AI113" s="611"/>
      <c r="AJ113" s="611"/>
      <c r="AK113" s="611"/>
      <c r="AL113" s="611"/>
      <c r="AM113" s="611"/>
      <c r="AN113" s="611"/>
      <c r="AO113" s="119"/>
      <c r="AP113" s="114"/>
      <c r="AQ113" s="114"/>
      <c r="AR113" s="115"/>
      <c r="AS113" s="115"/>
      <c r="AT113" s="115"/>
      <c r="AU113" s="115"/>
      <c r="AV113" s="115"/>
      <c r="AW113" s="115"/>
      <c r="AX113" s="115"/>
      <c r="AY113" s="122"/>
      <c r="AZ113" s="122"/>
      <c r="BA113" s="122"/>
      <c r="BB113" s="122"/>
      <c r="BC113" s="122"/>
      <c r="BD113" s="122"/>
      <c r="BE113" s="122"/>
      <c r="BF113" s="122"/>
      <c r="BG113" s="122"/>
      <c r="BH113" s="122"/>
      <c r="BI113" s="122"/>
    </row>
    <row r="114" spans="1:61" s="657" customFormat="1" ht="30.25" customHeight="1" x14ac:dyDescent="0.25">
      <c r="A114" s="593" t="s">
        <v>2592</v>
      </c>
      <c r="B114" s="593" t="s">
        <v>3477</v>
      </c>
      <c r="C114" s="594" t="str">
        <f t="shared" si="19"/>
        <v>OPEL Mokka-e-GS-LINE</v>
      </c>
      <c r="D114" s="593" t="s">
        <v>2741</v>
      </c>
      <c r="E114" s="593">
        <v>100</v>
      </c>
      <c r="F114" s="593" t="s">
        <v>2521</v>
      </c>
      <c r="G114" s="642">
        <v>17.600000000000001</v>
      </c>
      <c r="H114" s="593"/>
      <c r="I114" s="593">
        <v>0</v>
      </c>
      <c r="J114" s="595"/>
      <c r="K114" s="595"/>
      <c r="L114" s="595">
        <v>38719</v>
      </c>
      <c r="M114" s="596"/>
      <c r="N114" s="643" t="s">
        <v>2875</v>
      </c>
      <c r="O114" s="659"/>
      <c r="P114" s="603"/>
      <c r="Q114" s="603"/>
      <c r="R114" s="603"/>
      <c r="S114" s="603"/>
      <c r="T114" s="603"/>
      <c r="U114" s="603"/>
      <c r="V114" s="603"/>
      <c r="W114" s="603"/>
      <c r="X114" s="603"/>
      <c r="Y114" s="603"/>
      <c r="Z114" s="603"/>
      <c r="AA114" s="603"/>
      <c r="AB114" s="603"/>
      <c r="AC114" s="603"/>
      <c r="AD114" s="603"/>
      <c r="AE114" s="664"/>
      <c r="AF114" s="611"/>
      <c r="AG114" s="611"/>
      <c r="AH114" s="611"/>
      <c r="AI114" s="611"/>
      <c r="AJ114" s="611"/>
      <c r="AK114" s="611"/>
      <c r="AL114" s="611"/>
      <c r="AM114" s="611"/>
      <c r="AN114" s="611"/>
      <c r="AO114" s="119"/>
      <c r="AP114" s="114"/>
      <c r="AQ114" s="114"/>
      <c r="AR114" s="115"/>
      <c r="AS114" s="115"/>
      <c r="AT114" s="115"/>
      <c r="AU114" s="115"/>
      <c r="AV114" s="115"/>
      <c r="AW114" s="115"/>
      <c r="AX114" s="115"/>
      <c r="AY114" s="122"/>
      <c r="AZ114" s="122"/>
      <c r="BA114" s="122"/>
      <c r="BB114" s="122"/>
      <c r="BC114" s="122"/>
      <c r="BD114" s="122"/>
      <c r="BE114" s="122"/>
      <c r="BF114" s="122"/>
      <c r="BG114" s="122"/>
      <c r="BH114" s="122"/>
      <c r="BI114" s="122"/>
    </row>
    <row r="115" spans="1:61" s="657" customFormat="1" ht="30.25" customHeight="1" x14ac:dyDescent="0.25">
      <c r="A115" s="593" t="s">
        <v>2592</v>
      </c>
      <c r="B115" s="593" t="s">
        <v>3478</v>
      </c>
      <c r="C115" s="594" t="str">
        <f t="shared" si="19"/>
        <v>OPEL Mokka-e-ULTIMATE</v>
      </c>
      <c r="D115" s="593" t="s">
        <v>2741</v>
      </c>
      <c r="E115" s="593">
        <v>100</v>
      </c>
      <c r="F115" s="593" t="s">
        <v>2521</v>
      </c>
      <c r="G115" s="642">
        <v>17.600000000000001</v>
      </c>
      <c r="H115" s="593"/>
      <c r="I115" s="593">
        <v>0</v>
      </c>
      <c r="J115" s="595"/>
      <c r="K115" s="595"/>
      <c r="L115" s="595">
        <v>40849</v>
      </c>
      <c r="M115" s="596"/>
      <c r="N115" s="643" t="s">
        <v>2875</v>
      </c>
      <c r="O115" s="659"/>
      <c r="P115" s="603"/>
      <c r="Q115" s="603"/>
      <c r="R115" s="603"/>
      <c r="S115" s="603"/>
      <c r="T115" s="603"/>
      <c r="U115" s="603"/>
      <c r="V115" s="603"/>
      <c r="W115" s="603"/>
      <c r="X115" s="603"/>
      <c r="Y115" s="603"/>
      <c r="Z115" s="603"/>
      <c r="AA115" s="603"/>
      <c r="AB115" s="603"/>
      <c r="AC115" s="603"/>
      <c r="AD115" s="603"/>
      <c r="AE115" s="664"/>
      <c r="AF115" s="611"/>
      <c r="AG115" s="611"/>
      <c r="AH115" s="611"/>
      <c r="AI115" s="611"/>
      <c r="AJ115" s="611"/>
      <c r="AK115" s="611"/>
      <c r="AL115" s="611"/>
      <c r="AM115" s="611"/>
      <c r="AN115" s="611"/>
      <c r="AO115" s="119"/>
      <c r="AP115" s="114"/>
      <c r="AQ115" s="114"/>
      <c r="AR115" s="115"/>
      <c r="AS115" s="115"/>
      <c r="AT115" s="115"/>
      <c r="AU115" s="115"/>
      <c r="AV115" s="115"/>
      <c r="AW115" s="115"/>
      <c r="AX115" s="115"/>
      <c r="AY115" s="122"/>
      <c r="AZ115" s="122"/>
      <c r="BA115" s="122"/>
      <c r="BB115" s="122"/>
      <c r="BC115" s="122"/>
      <c r="BD115" s="122"/>
      <c r="BE115" s="122"/>
      <c r="BF115" s="122"/>
      <c r="BG115" s="122"/>
      <c r="BH115" s="122"/>
      <c r="BI115" s="122"/>
    </row>
    <row r="116" spans="1:61" s="657" customFormat="1" ht="30.25" customHeight="1" x14ac:dyDescent="0.25">
      <c r="A116" s="593" t="s">
        <v>2592</v>
      </c>
      <c r="B116" s="593" t="s">
        <v>3479</v>
      </c>
      <c r="C116" s="594" t="str">
        <f t="shared" si="19"/>
        <v>OPEL Zafira-e-Edition (50 kWh) Länge S</v>
      </c>
      <c r="D116" s="593" t="s">
        <v>2741</v>
      </c>
      <c r="E116" s="593">
        <v>100</v>
      </c>
      <c r="F116" s="593" t="s">
        <v>2521</v>
      </c>
      <c r="G116" s="642">
        <v>23.9</v>
      </c>
      <c r="H116" s="593"/>
      <c r="I116" s="593">
        <v>0</v>
      </c>
      <c r="J116" s="595"/>
      <c r="K116" s="595"/>
      <c r="L116" s="595">
        <v>58750</v>
      </c>
      <c r="M116" s="596"/>
      <c r="N116" s="643" t="s">
        <v>2875</v>
      </c>
      <c r="O116" s="659"/>
      <c r="P116" s="603"/>
      <c r="Q116" s="603"/>
      <c r="R116" s="603"/>
      <c r="S116" s="603"/>
      <c r="T116" s="603"/>
      <c r="U116" s="603"/>
      <c r="V116" s="603"/>
      <c r="W116" s="603"/>
      <c r="X116" s="603"/>
      <c r="Y116" s="603"/>
      <c r="Z116" s="603"/>
      <c r="AA116" s="603"/>
      <c r="AB116" s="603"/>
      <c r="AC116" s="603"/>
      <c r="AD116" s="603"/>
      <c r="AE116" s="664"/>
      <c r="AF116" s="611"/>
      <c r="AG116" s="611"/>
      <c r="AH116" s="611"/>
      <c r="AI116" s="611"/>
      <c r="AJ116" s="611"/>
      <c r="AK116" s="611"/>
      <c r="AL116" s="611"/>
      <c r="AM116" s="611"/>
      <c r="AN116" s="611"/>
      <c r="AO116" s="119"/>
      <c r="AP116" s="114"/>
      <c r="AQ116" s="114"/>
      <c r="AR116" s="115"/>
      <c r="AS116" s="115"/>
      <c r="AT116" s="115"/>
      <c r="AU116" s="115"/>
      <c r="AV116" s="115"/>
      <c r="AW116" s="115"/>
      <c r="AX116" s="115"/>
      <c r="AY116" s="122"/>
      <c r="AZ116" s="122"/>
      <c r="BA116" s="122"/>
      <c r="BB116" s="122"/>
      <c r="BC116" s="122"/>
      <c r="BD116" s="122"/>
      <c r="BE116" s="122"/>
      <c r="BF116" s="122"/>
      <c r="BG116" s="122"/>
      <c r="BH116" s="122"/>
      <c r="BI116" s="122"/>
    </row>
    <row r="117" spans="1:61" s="657" customFormat="1" ht="30.25" customHeight="1" x14ac:dyDescent="0.25">
      <c r="A117" s="593" t="s">
        <v>2592</v>
      </c>
      <c r="B117" s="593" t="s">
        <v>3480</v>
      </c>
      <c r="C117" s="594" t="str">
        <f t="shared" ref="C117:C119" si="20">CONCATENATE(A117," ",B117)</f>
        <v>OPEL Zafira-e-Edition (50 kWh) Länge M</v>
      </c>
      <c r="D117" s="593" t="s">
        <v>2741</v>
      </c>
      <c r="E117" s="593">
        <v>100</v>
      </c>
      <c r="F117" s="593" t="s">
        <v>2521</v>
      </c>
      <c r="G117" s="642">
        <v>23.9</v>
      </c>
      <c r="H117" s="593"/>
      <c r="I117" s="593">
        <v>0</v>
      </c>
      <c r="J117" s="595"/>
      <c r="K117" s="595"/>
      <c r="L117" s="595">
        <v>59700</v>
      </c>
      <c r="M117" s="596"/>
      <c r="N117" s="643" t="s">
        <v>2875</v>
      </c>
      <c r="O117" s="659"/>
      <c r="P117" s="603"/>
      <c r="Q117" s="603"/>
      <c r="R117" s="603"/>
      <c r="S117" s="603"/>
      <c r="T117" s="603"/>
      <c r="U117" s="603"/>
      <c r="V117" s="603"/>
      <c r="W117" s="603"/>
      <c r="X117" s="603"/>
      <c r="Y117" s="603"/>
      <c r="Z117" s="603"/>
      <c r="AA117" s="603"/>
      <c r="AB117" s="603"/>
      <c r="AC117" s="603"/>
      <c r="AD117" s="603"/>
      <c r="AE117" s="664"/>
      <c r="AF117" s="611"/>
      <c r="AG117" s="611"/>
      <c r="AH117" s="611"/>
      <c r="AI117" s="611"/>
      <c r="AJ117" s="611"/>
      <c r="AK117" s="611"/>
      <c r="AL117" s="611"/>
      <c r="AM117" s="611"/>
      <c r="AN117" s="611"/>
      <c r="AO117" s="119"/>
      <c r="AP117" s="114"/>
      <c r="AQ117" s="114"/>
      <c r="AR117" s="115"/>
      <c r="AS117" s="115"/>
      <c r="AT117" s="115"/>
      <c r="AU117" s="115"/>
      <c r="AV117" s="115"/>
      <c r="AW117" s="115"/>
      <c r="AX117" s="115"/>
      <c r="AY117" s="122"/>
      <c r="AZ117" s="122"/>
      <c r="BA117" s="122"/>
      <c r="BB117" s="122"/>
      <c r="BC117" s="122"/>
      <c r="BD117" s="122"/>
      <c r="BE117" s="122"/>
      <c r="BF117" s="122"/>
      <c r="BG117" s="122"/>
      <c r="BH117" s="122"/>
      <c r="BI117" s="122"/>
    </row>
    <row r="118" spans="1:61" s="657" customFormat="1" ht="30.25" customHeight="1" x14ac:dyDescent="0.25">
      <c r="A118" s="593" t="s">
        <v>2592</v>
      </c>
      <c r="B118" s="593" t="s">
        <v>3481</v>
      </c>
      <c r="C118" s="594" t="str">
        <f t="shared" si="20"/>
        <v>OPEL Zafira-e-Edition (50 kWh) Länge L</v>
      </c>
      <c r="D118" s="593" t="s">
        <v>2741</v>
      </c>
      <c r="E118" s="593">
        <v>100</v>
      </c>
      <c r="F118" s="593" t="s">
        <v>2521</v>
      </c>
      <c r="G118" s="642">
        <v>23.9</v>
      </c>
      <c r="H118" s="593"/>
      <c r="I118" s="593">
        <v>0</v>
      </c>
      <c r="J118" s="595"/>
      <c r="K118" s="595"/>
      <c r="L118" s="595">
        <v>60200</v>
      </c>
      <c r="M118" s="596"/>
      <c r="N118" s="643" t="s">
        <v>2875</v>
      </c>
      <c r="O118" s="659"/>
      <c r="P118" s="603"/>
      <c r="Q118" s="603"/>
      <c r="R118" s="603"/>
      <c r="S118" s="603"/>
      <c r="T118" s="603"/>
      <c r="U118" s="603"/>
      <c r="V118" s="603"/>
      <c r="W118" s="603"/>
      <c r="X118" s="603"/>
      <c r="Y118" s="603"/>
      <c r="Z118" s="603"/>
      <c r="AA118" s="603"/>
      <c r="AB118" s="603"/>
      <c r="AC118" s="603"/>
      <c r="AD118" s="603"/>
      <c r="AE118" s="664"/>
      <c r="AF118" s="611"/>
      <c r="AG118" s="611"/>
      <c r="AH118" s="611"/>
      <c r="AI118" s="611"/>
      <c r="AJ118" s="611"/>
      <c r="AK118" s="611"/>
      <c r="AL118" s="611"/>
      <c r="AM118" s="611"/>
      <c r="AN118" s="611"/>
      <c r="AO118" s="119"/>
      <c r="AP118" s="114"/>
      <c r="AQ118" s="114"/>
      <c r="AR118" s="115"/>
      <c r="AS118" s="115"/>
      <c r="AT118" s="115"/>
      <c r="AU118" s="115"/>
      <c r="AV118" s="115"/>
      <c r="AW118" s="115"/>
      <c r="AX118" s="115"/>
      <c r="AY118" s="122"/>
      <c r="AZ118" s="122"/>
      <c r="BA118" s="122"/>
      <c r="BB118" s="122"/>
      <c r="BC118" s="122"/>
      <c r="BD118" s="122"/>
      <c r="BE118" s="122"/>
      <c r="BF118" s="122"/>
      <c r="BG118" s="122"/>
      <c r="BH118" s="122"/>
      <c r="BI118" s="122"/>
    </row>
    <row r="119" spans="1:61" s="657" customFormat="1" ht="30.25" customHeight="1" x14ac:dyDescent="0.25">
      <c r="A119" s="593" t="s">
        <v>2592</v>
      </c>
      <c r="B119" s="593" t="s">
        <v>3482</v>
      </c>
      <c r="C119" s="594" t="str">
        <f t="shared" si="20"/>
        <v>OPEL Zafira-e-Edition (75 kWh) Länge S</v>
      </c>
      <c r="D119" s="593" t="s">
        <v>2741</v>
      </c>
      <c r="E119" s="593">
        <v>100</v>
      </c>
      <c r="F119" s="593" t="s">
        <v>2521</v>
      </c>
      <c r="G119" s="642">
        <v>25.9</v>
      </c>
      <c r="H119" s="593"/>
      <c r="I119" s="593">
        <v>0</v>
      </c>
      <c r="J119" s="595"/>
      <c r="K119" s="595"/>
      <c r="L119" s="595" t="s">
        <v>801</v>
      </c>
      <c r="M119" s="596"/>
      <c r="N119" s="643" t="s">
        <v>2875</v>
      </c>
      <c r="O119" s="659"/>
      <c r="P119" s="603"/>
      <c r="Q119" s="603"/>
      <c r="R119" s="603"/>
      <c r="S119" s="603"/>
      <c r="T119" s="603"/>
      <c r="U119" s="603"/>
      <c r="V119" s="603"/>
      <c r="W119" s="603"/>
      <c r="X119" s="603"/>
      <c r="Y119" s="603"/>
      <c r="Z119" s="603"/>
      <c r="AA119" s="603"/>
      <c r="AB119" s="603"/>
      <c r="AC119" s="603"/>
      <c r="AD119" s="603"/>
      <c r="AE119" s="664"/>
      <c r="AF119" s="611"/>
      <c r="AG119" s="611"/>
      <c r="AH119" s="611"/>
      <c r="AI119" s="611"/>
      <c r="AJ119" s="611"/>
      <c r="AK119" s="611"/>
      <c r="AL119" s="611"/>
      <c r="AM119" s="611"/>
      <c r="AN119" s="611"/>
      <c r="AO119" s="119"/>
      <c r="AP119" s="114"/>
      <c r="AQ119" s="114"/>
      <c r="AR119" s="115"/>
      <c r="AS119" s="115"/>
      <c r="AT119" s="115"/>
      <c r="AU119" s="115"/>
      <c r="AV119" s="115"/>
      <c r="AW119" s="115"/>
      <c r="AX119" s="115"/>
      <c r="AY119" s="122"/>
      <c r="AZ119" s="122"/>
      <c r="BA119" s="122"/>
      <c r="BB119" s="122"/>
      <c r="BC119" s="122"/>
      <c r="BD119" s="122"/>
      <c r="BE119" s="122"/>
      <c r="BF119" s="122"/>
      <c r="BG119" s="122"/>
      <c r="BH119" s="122"/>
      <c r="BI119" s="122"/>
    </row>
    <row r="120" spans="1:61" s="657" customFormat="1" ht="30.25" customHeight="1" x14ac:dyDescent="0.25">
      <c r="A120" s="593" t="s">
        <v>2592</v>
      </c>
      <c r="B120" s="593" t="s">
        <v>3483</v>
      </c>
      <c r="C120" s="594" t="str">
        <f t="shared" ref="C120:C121" si="21">CONCATENATE(A120," ",B120)</f>
        <v>OPEL Zafira-e-Edition (75 kWh) Länge M</v>
      </c>
      <c r="D120" s="593" t="s">
        <v>2741</v>
      </c>
      <c r="E120" s="593">
        <v>100</v>
      </c>
      <c r="F120" s="593" t="s">
        <v>2521</v>
      </c>
      <c r="G120" s="642">
        <v>25.9</v>
      </c>
      <c r="H120" s="593"/>
      <c r="I120" s="593">
        <v>0</v>
      </c>
      <c r="J120" s="595"/>
      <c r="K120" s="595"/>
      <c r="L120" s="595">
        <v>65700</v>
      </c>
      <c r="M120" s="596"/>
      <c r="N120" s="643" t="s">
        <v>2875</v>
      </c>
      <c r="O120" s="659"/>
      <c r="P120" s="603"/>
      <c r="Q120" s="603"/>
      <c r="R120" s="603"/>
      <c r="S120" s="603"/>
      <c r="T120" s="603"/>
      <c r="U120" s="603"/>
      <c r="V120" s="603"/>
      <c r="W120" s="603"/>
      <c r="X120" s="603"/>
      <c r="Y120" s="603"/>
      <c r="Z120" s="603"/>
      <c r="AA120" s="603"/>
      <c r="AB120" s="603"/>
      <c r="AC120" s="603"/>
      <c r="AD120" s="603"/>
      <c r="AE120" s="664"/>
      <c r="AF120" s="611"/>
      <c r="AG120" s="611"/>
      <c r="AH120" s="611"/>
      <c r="AI120" s="611"/>
      <c r="AJ120" s="611"/>
      <c r="AK120" s="611"/>
      <c r="AL120" s="611"/>
      <c r="AM120" s="611"/>
      <c r="AN120" s="611"/>
      <c r="AO120" s="119"/>
      <c r="AP120" s="114"/>
      <c r="AQ120" s="114"/>
      <c r="AR120" s="115"/>
      <c r="AS120" s="115"/>
      <c r="AT120" s="115"/>
      <c r="AU120" s="115"/>
      <c r="AV120" s="115"/>
      <c r="AW120" s="115"/>
      <c r="AX120" s="115"/>
      <c r="AY120" s="122"/>
      <c r="AZ120" s="122"/>
      <c r="BA120" s="122"/>
      <c r="BB120" s="122"/>
      <c r="BC120" s="122"/>
      <c r="BD120" s="122"/>
      <c r="BE120" s="122"/>
      <c r="BF120" s="122"/>
      <c r="BG120" s="122"/>
      <c r="BH120" s="122"/>
      <c r="BI120" s="122"/>
    </row>
    <row r="121" spans="1:61" s="657" customFormat="1" ht="30.25" customHeight="1" x14ac:dyDescent="0.25">
      <c r="A121" s="593" t="s">
        <v>2592</v>
      </c>
      <c r="B121" s="593" t="s">
        <v>3484</v>
      </c>
      <c r="C121" s="594" t="str">
        <f t="shared" si="21"/>
        <v>OPEL Zafira-e-Edition (75 kWh) Länge L</v>
      </c>
      <c r="D121" s="593" t="s">
        <v>2741</v>
      </c>
      <c r="E121" s="593">
        <v>100</v>
      </c>
      <c r="F121" s="593" t="s">
        <v>2521</v>
      </c>
      <c r="G121" s="642">
        <v>25.9</v>
      </c>
      <c r="H121" s="593"/>
      <c r="I121" s="593">
        <v>0</v>
      </c>
      <c r="J121" s="595"/>
      <c r="K121" s="595"/>
      <c r="L121" s="595">
        <v>66200</v>
      </c>
      <c r="M121" s="596"/>
      <c r="N121" s="643" t="s">
        <v>2875</v>
      </c>
      <c r="O121" s="659"/>
      <c r="P121" s="603"/>
      <c r="Q121" s="603"/>
      <c r="R121" s="603"/>
      <c r="S121" s="603"/>
      <c r="T121" s="603"/>
      <c r="U121" s="603"/>
      <c r="V121" s="603"/>
      <c r="W121" s="603"/>
      <c r="X121" s="603"/>
      <c r="Y121" s="603"/>
      <c r="Z121" s="603"/>
      <c r="AA121" s="603"/>
      <c r="AB121" s="603"/>
      <c r="AC121" s="603"/>
      <c r="AD121" s="603"/>
      <c r="AE121" s="664"/>
      <c r="AF121" s="611"/>
      <c r="AG121" s="611"/>
      <c r="AH121" s="611"/>
      <c r="AI121" s="611"/>
      <c r="AJ121" s="611"/>
      <c r="AK121" s="611"/>
      <c r="AL121" s="611"/>
      <c r="AM121" s="611"/>
      <c r="AN121" s="611"/>
      <c r="AO121" s="119"/>
      <c r="AP121" s="114"/>
      <c r="AQ121" s="114"/>
      <c r="AR121" s="115"/>
      <c r="AS121" s="115"/>
      <c r="AT121" s="115"/>
      <c r="AU121" s="115"/>
      <c r="AV121" s="115"/>
      <c r="AW121" s="115"/>
      <c r="AX121" s="115"/>
      <c r="AY121" s="122"/>
      <c r="AZ121" s="122"/>
      <c r="BA121" s="122"/>
      <c r="BB121" s="122"/>
      <c r="BC121" s="122"/>
      <c r="BD121" s="122"/>
      <c r="BE121" s="122"/>
      <c r="BF121" s="122"/>
      <c r="BG121" s="122"/>
      <c r="BH121" s="122"/>
      <c r="BI121" s="122"/>
    </row>
    <row r="122" spans="1:61" s="657" customFormat="1" ht="30.25" customHeight="1" x14ac:dyDescent="0.25">
      <c r="A122" s="593" t="s">
        <v>2592</v>
      </c>
      <c r="B122" s="593" t="s">
        <v>3485</v>
      </c>
      <c r="C122" s="594" t="str">
        <f t="shared" ref="C122:C124" si="22">CONCATENATE(A122," ",B122)</f>
        <v>OPEL Zafira-e-Elegance (50 kWh) Länge S</v>
      </c>
      <c r="D122" s="593" t="s">
        <v>2741</v>
      </c>
      <c r="E122" s="593">
        <v>100</v>
      </c>
      <c r="F122" s="593" t="s">
        <v>2521</v>
      </c>
      <c r="G122" s="642">
        <v>23.9</v>
      </c>
      <c r="H122" s="593"/>
      <c r="I122" s="593">
        <v>0</v>
      </c>
      <c r="J122" s="595"/>
      <c r="K122" s="595"/>
      <c r="L122" s="595" t="s">
        <v>801</v>
      </c>
      <c r="M122" s="596"/>
      <c r="N122" s="643" t="s">
        <v>2875</v>
      </c>
      <c r="O122" s="659"/>
      <c r="P122" s="603"/>
      <c r="Q122" s="603"/>
      <c r="R122" s="603"/>
      <c r="S122" s="603"/>
      <c r="T122" s="603"/>
      <c r="U122" s="603"/>
      <c r="V122" s="603"/>
      <c r="W122" s="603"/>
      <c r="X122" s="603"/>
      <c r="Y122" s="603"/>
      <c r="Z122" s="603"/>
      <c r="AA122" s="603"/>
      <c r="AB122" s="603"/>
      <c r="AC122" s="603"/>
      <c r="AD122" s="603"/>
      <c r="AE122" s="664"/>
      <c r="AF122" s="611"/>
      <c r="AG122" s="611"/>
      <c r="AH122" s="611"/>
      <c r="AI122" s="611"/>
      <c r="AJ122" s="611"/>
      <c r="AK122" s="611"/>
      <c r="AL122" s="611"/>
      <c r="AM122" s="611"/>
      <c r="AN122" s="611"/>
      <c r="AO122" s="119"/>
      <c r="AP122" s="114"/>
      <c r="AQ122" s="114"/>
      <c r="AR122" s="115"/>
      <c r="AS122" s="115"/>
      <c r="AT122" s="115"/>
      <c r="AU122" s="115"/>
      <c r="AV122" s="115"/>
      <c r="AW122" s="115"/>
      <c r="AX122" s="115"/>
      <c r="AY122" s="122"/>
      <c r="AZ122" s="122"/>
      <c r="BA122" s="122"/>
      <c r="BB122" s="122"/>
      <c r="BC122" s="122"/>
      <c r="BD122" s="122"/>
      <c r="BE122" s="122"/>
      <c r="BF122" s="122"/>
      <c r="BG122" s="122"/>
      <c r="BH122" s="122"/>
      <c r="BI122" s="122"/>
    </row>
    <row r="123" spans="1:61" s="657" customFormat="1" ht="30.25" customHeight="1" x14ac:dyDescent="0.25">
      <c r="A123" s="593" t="s">
        <v>2592</v>
      </c>
      <c r="B123" s="593" t="s">
        <v>3486</v>
      </c>
      <c r="C123" s="594" t="str">
        <f t="shared" si="22"/>
        <v>OPEL Zafira-e-Elegance (50 kWh) Länge M</v>
      </c>
      <c r="D123" s="593" t="s">
        <v>2741</v>
      </c>
      <c r="E123" s="593">
        <v>100</v>
      </c>
      <c r="F123" s="593" t="s">
        <v>2521</v>
      </c>
      <c r="G123" s="642">
        <v>23.9</v>
      </c>
      <c r="H123" s="593"/>
      <c r="I123" s="593">
        <v>0</v>
      </c>
      <c r="J123" s="595"/>
      <c r="K123" s="595"/>
      <c r="L123" s="595">
        <v>67210</v>
      </c>
      <c r="M123" s="596"/>
      <c r="N123" s="643" t="s">
        <v>2875</v>
      </c>
      <c r="O123" s="659"/>
      <c r="P123" s="603"/>
      <c r="Q123" s="603"/>
      <c r="R123" s="603"/>
      <c r="S123" s="603"/>
      <c r="T123" s="603"/>
      <c r="U123" s="603"/>
      <c r="V123" s="603"/>
      <c r="W123" s="603"/>
      <c r="X123" s="603"/>
      <c r="Y123" s="603"/>
      <c r="Z123" s="603"/>
      <c r="AA123" s="603"/>
      <c r="AB123" s="603"/>
      <c r="AC123" s="603"/>
      <c r="AD123" s="603"/>
      <c r="AE123" s="664"/>
      <c r="AF123" s="611"/>
      <c r="AG123" s="611"/>
      <c r="AH123" s="611"/>
      <c r="AI123" s="611"/>
      <c r="AJ123" s="611"/>
      <c r="AK123" s="611"/>
      <c r="AL123" s="611"/>
      <c r="AM123" s="611"/>
      <c r="AN123" s="611"/>
      <c r="AO123" s="119"/>
      <c r="AP123" s="114"/>
      <c r="AQ123" s="114"/>
      <c r="AR123" s="115"/>
      <c r="AS123" s="115"/>
      <c r="AT123" s="115"/>
      <c r="AU123" s="115"/>
      <c r="AV123" s="115"/>
      <c r="AW123" s="115"/>
      <c r="AX123" s="115"/>
      <c r="AY123" s="122"/>
      <c r="AZ123" s="122"/>
      <c r="BA123" s="122"/>
      <c r="BB123" s="122"/>
      <c r="BC123" s="122"/>
      <c r="BD123" s="122"/>
      <c r="BE123" s="122"/>
      <c r="BF123" s="122"/>
      <c r="BG123" s="122"/>
      <c r="BH123" s="122"/>
      <c r="BI123" s="122"/>
    </row>
    <row r="124" spans="1:61" s="657" customFormat="1" ht="30.25" customHeight="1" x14ac:dyDescent="0.25">
      <c r="A124" s="593" t="s">
        <v>2592</v>
      </c>
      <c r="B124" s="593" t="s">
        <v>3487</v>
      </c>
      <c r="C124" s="594" t="str">
        <f t="shared" si="22"/>
        <v>OPEL Zafira-e-Elegance (50 kWh) Länge L</v>
      </c>
      <c r="D124" s="593" t="s">
        <v>2741</v>
      </c>
      <c r="E124" s="593">
        <v>100</v>
      </c>
      <c r="F124" s="593" t="s">
        <v>2521</v>
      </c>
      <c r="G124" s="642">
        <v>23.9</v>
      </c>
      <c r="H124" s="593"/>
      <c r="I124" s="593">
        <v>0</v>
      </c>
      <c r="J124" s="595"/>
      <c r="K124" s="595"/>
      <c r="L124" s="595">
        <v>67710</v>
      </c>
      <c r="M124" s="596"/>
      <c r="N124" s="643" t="s">
        <v>2875</v>
      </c>
      <c r="O124" s="659"/>
      <c r="P124" s="603"/>
      <c r="Q124" s="603"/>
      <c r="R124" s="603"/>
      <c r="S124" s="603"/>
      <c r="T124" s="603"/>
      <c r="U124" s="603"/>
      <c r="V124" s="603"/>
      <c r="W124" s="603"/>
      <c r="X124" s="603"/>
      <c r="Y124" s="603"/>
      <c r="Z124" s="603"/>
      <c r="AA124" s="603"/>
      <c r="AB124" s="603"/>
      <c r="AC124" s="603"/>
      <c r="AD124" s="603"/>
      <c r="AE124" s="664"/>
      <c r="AF124" s="611"/>
      <c r="AG124" s="611"/>
      <c r="AH124" s="611"/>
      <c r="AI124" s="611"/>
      <c r="AJ124" s="611"/>
      <c r="AK124" s="611"/>
      <c r="AL124" s="611"/>
      <c r="AM124" s="611"/>
      <c r="AN124" s="611"/>
      <c r="AO124" s="119"/>
      <c r="AP124" s="114"/>
      <c r="AQ124" s="114"/>
      <c r="AR124" s="115"/>
      <c r="AS124" s="115"/>
      <c r="AT124" s="115"/>
      <c r="AU124" s="115"/>
      <c r="AV124" s="115"/>
      <c r="AW124" s="115"/>
      <c r="AX124" s="115"/>
      <c r="AY124" s="122"/>
      <c r="AZ124" s="122"/>
      <c r="BA124" s="122"/>
      <c r="BB124" s="122"/>
      <c r="BC124" s="122"/>
      <c r="BD124" s="122"/>
      <c r="BE124" s="122"/>
      <c r="BF124" s="122"/>
      <c r="BG124" s="122"/>
      <c r="BH124" s="122"/>
      <c r="BI124" s="122"/>
    </row>
    <row r="125" spans="1:61" s="657" customFormat="1" ht="30.25" customHeight="1" x14ac:dyDescent="0.25">
      <c r="A125" s="593" t="s">
        <v>2592</v>
      </c>
      <c r="B125" s="593" t="s">
        <v>3488</v>
      </c>
      <c r="C125" s="594" t="str">
        <f t="shared" ref="C125:C130" si="23">CONCATENATE(A125," ",B125)</f>
        <v>OPEL Zafira-e-Elegance (75 kWh) Länge S</v>
      </c>
      <c r="D125" s="593" t="s">
        <v>2741</v>
      </c>
      <c r="E125" s="593">
        <v>100</v>
      </c>
      <c r="F125" s="593" t="s">
        <v>2521</v>
      </c>
      <c r="G125" s="642">
        <v>25.9</v>
      </c>
      <c r="H125" s="593"/>
      <c r="I125" s="593">
        <v>0</v>
      </c>
      <c r="J125" s="595"/>
      <c r="K125" s="595"/>
      <c r="L125" s="595" t="s">
        <v>801</v>
      </c>
      <c r="M125" s="596"/>
      <c r="N125" s="643" t="s">
        <v>2875</v>
      </c>
      <c r="O125" s="659"/>
      <c r="P125" s="603"/>
      <c r="Q125" s="603"/>
      <c r="R125" s="603"/>
      <c r="S125" s="603"/>
      <c r="T125" s="603"/>
      <c r="U125" s="603"/>
      <c r="V125" s="603"/>
      <c r="W125" s="603"/>
      <c r="X125" s="603"/>
      <c r="Y125" s="603"/>
      <c r="Z125" s="603"/>
      <c r="AA125" s="603"/>
      <c r="AB125" s="603"/>
      <c r="AC125" s="603"/>
      <c r="AD125" s="603"/>
      <c r="AE125" s="664"/>
      <c r="AF125" s="611"/>
      <c r="AG125" s="611"/>
      <c r="AH125" s="611"/>
      <c r="AI125" s="611"/>
      <c r="AJ125" s="611"/>
      <c r="AK125" s="611"/>
      <c r="AL125" s="611"/>
      <c r="AM125" s="611"/>
      <c r="AN125" s="611"/>
      <c r="AO125" s="119"/>
      <c r="AP125" s="114"/>
      <c r="AQ125" s="114"/>
      <c r="AR125" s="115"/>
      <c r="AS125" s="115"/>
      <c r="AT125" s="115"/>
      <c r="AU125" s="115"/>
      <c r="AV125" s="115"/>
      <c r="AW125" s="115"/>
      <c r="AX125" s="115"/>
      <c r="AY125" s="122"/>
      <c r="AZ125" s="122"/>
      <c r="BA125" s="122"/>
      <c r="BB125" s="122"/>
      <c r="BC125" s="122"/>
      <c r="BD125" s="122"/>
      <c r="BE125" s="122"/>
      <c r="BF125" s="122"/>
      <c r="BG125" s="122"/>
      <c r="BH125" s="122"/>
      <c r="BI125" s="122"/>
    </row>
    <row r="126" spans="1:61" s="657" customFormat="1" ht="30.25" customHeight="1" x14ac:dyDescent="0.25">
      <c r="A126" s="593" t="s">
        <v>2592</v>
      </c>
      <c r="B126" s="593" t="s">
        <v>3489</v>
      </c>
      <c r="C126" s="594" t="str">
        <f t="shared" si="23"/>
        <v>OPEL Zafira-e-Elegance (75 kWh) Länge M</v>
      </c>
      <c r="D126" s="593" t="s">
        <v>2741</v>
      </c>
      <c r="E126" s="593">
        <v>100</v>
      </c>
      <c r="F126" s="593" t="s">
        <v>2521</v>
      </c>
      <c r="G126" s="642">
        <v>25.9</v>
      </c>
      <c r="H126" s="593"/>
      <c r="I126" s="593">
        <v>0</v>
      </c>
      <c r="J126" s="595"/>
      <c r="K126" s="595"/>
      <c r="L126" s="595">
        <v>73210</v>
      </c>
      <c r="M126" s="596"/>
      <c r="N126" s="643" t="s">
        <v>2875</v>
      </c>
      <c r="O126" s="659"/>
      <c r="P126" s="603"/>
      <c r="Q126" s="603"/>
      <c r="R126" s="603"/>
      <c r="S126" s="603"/>
      <c r="T126" s="603"/>
      <c r="U126" s="603"/>
      <c r="V126" s="603"/>
      <c r="W126" s="603"/>
      <c r="X126" s="603"/>
      <c r="Y126" s="603"/>
      <c r="Z126" s="603"/>
      <c r="AA126" s="603"/>
      <c r="AB126" s="603"/>
      <c r="AC126" s="603"/>
      <c r="AD126" s="603"/>
      <c r="AE126" s="664"/>
      <c r="AF126" s="611"/>
      <c r="AG126" s="611"/>
      <c r="AH126" s="611"/>
      <c r="AI126" s="611"/>
      <c r="AJ126" s="611"/>
      <c r="AK126" s="611"/>
      <c r="AL126" s="611"/>
      <c r="AM126" s="611"/>
      <c r="AN126" s="611"/>
      <c r="AO126" s="119"/>
      <c r="AP126" s="114"/>
      <c r="AQ126" s="114"/>
      <c r="AR126" s="115"/>
      <c r="AS126" s="115"/>
      <c r="AT126" s="115"/>
      <c r="AU126" s="115"/>
      <c r="AV126" s="115"/>
      <c r="AW126" s="115"/>
      <c r="AX126" s="115"/>
      <c r="AY126" s="122"/>
      <c r="AZ126" s="122"/>
      <c r="BA126" s="122"/>
      <c r="BB126" s="122"/>
      <c r="BC126" s="122"/>
      <c r="BD126" s="122"/>
      <c r="BE126" s="122"/>
      <c r="BF126" s="122"/>
      <c r="BG126" s="122"/>
      <c r="BH126" s="122"/>
      <c r="BI126" s="122"/>
    </row>
    <row r="127" spans="1:61" s="657" customFormat="1" ht="30.25" customHeight="1" x14ac:dyDescent="0.25">
      <c r="A127" s="593" t="s">
        <v>2592</v>
      </c>
      <c r="B127" s="593" t="s">
        <v>3490</v>
      </c>
      <c r="C127" s="594" t="str">
        <f t="shared" si="23"/>
        <v>OPEL Zafira-e-Elegance (75 kWh) Länge L</v>
      </c>
      <c r="D127" s="593" t="s">
        <v>2741</v>
      </c>
      <c r="E127" s="593">
        <v>100</v>
      </c>
      <c r="F127" s="593" t="s">
        <v>2521</v>
      </c>
      <c r="G127" s="642">
        <v>25.9</v>
      </c>
      <c r="H127" s="593"/>
      <c r="I127" s="593">
        <v>0</v>
      </c>
      <c r="J127" s="595"/>
      <c r="K127" s="595"/>
      <c r="L127" s="595">
        <v>73710</v>
      </c>
      <c r="M127" s="596"/>
      <c r="N127" s="643" t="s">
        <v>2875</v>
      </c>
      <c r="O127" s="659"/>
      <c r="P127" s="603"/>
      <c r="Q127" s="603"/>
      <c r="R127" s="603"/>
      <c r="S127" s="603"/>
      <c r="T127" s="603"/>
      <c r="U127" s="603"/>
      <c r="V127" s="603"/>
      <c r="W127" s="603"/>
      <c r="X127" s="603"/>
      <c r="Y127" s="603"/>
      <c r="Z127" s="603"/>
      <c r="AA127" s="603"/>
      <c r="AB127" s="603"/>
      <c r="AC127" s="603"/>
      <c r="AD127" s="603"/>
      <c r="AE127" s="664"/>
      <c r="AF127" s="611"/>
      <c r="AG127" s="611"/>
      <c r="AH127" s="611"/>
      <c r="AI127" s="611"/>
      <c r="AJ127" s="611"/>
      <c r="AK127" s="611"/>
      <c r="AL127" s="611"/>
      <c r="AM127" s="611"/>
      <c r="AN127" s="611"/>
      <c r="AO127" s="119"/>
      <c r="AP127" s="114"/>
      <c r="AQ127" s="114"/>
      <c r="AR127" s="115"/>
      <c r="AS127" s="115"/>
      <c r="AT127" s="115"/>
      <c r="AU127" s="115"/>
      <c r="AV127" s="115"/>
      <c r="AW127" s="115"/>
      <c r="AX127" s="115"/>
      <c r="AY127" s="122"/>
      <c r="AZ127" s="122"/>
      <c r="BA127" s="122"/>
      <c r="BB127" s="122"/>
      <c r="BC127" s="122"/>
      <c r="BD127" s="122"/>
      <c r="BE127" s="122"/>
      <c r="BF127" s="122"/>
      <c r="BG127" s="122"/>
      <c r="BH127" s="122"/>
      <c r="BI127" s="122"/>
    </row>
    <row r="128" spans="1:61" s="657" customFormat="1" ht="30.25" customHeight="1" x14ac:dyDescent="0.25">
      <c r="A128" s="593" t="s">
        <v>2592</v>
      </c>
      <c r="B128" s="593" t="s">
        <v>3493</v>
      </c>
      <c r="C128" s="594" t="str">
        <f t="shared" si="23"/>
        <v>OPEL Zafira-e-Business Edition (50 kWh) Länge S</v>
      </c>
      <c r="D128" s="593" t="s">
        <v>2741</v>
      </c>
      <c r="E128" s="593">
        <v>100</v>
      </c>
      <c r="F128" s="593" t="s">
        <v>2521</v>
      </c>
      <c r="G128" s="642">
        <v>23.9</v>
      </c>
      <c r="H128" s="593"/>
      <c r="I128" s="593">
        <v>0</v>
      </c>
      <c r="J128" s="595"/>
      <c r="K128" s="595"/>
      <c r="L128" s="595">
        <v>57650</v>
      </c>
      <c r="M128" s="596"/>
      <c r="N128" s="643" t="s">
        <v>2875</v>
      </c>
      <c r="O128" s="659"/>
      <c r="P128" s="603"/>
      <c r="Q128" s="603"/>
      <c r="R128" s="603"/>
      <c r="S128" s="603"/>
      <c r="T128" s="603"/>
      <c r="U128" s="603"/>
      <c r="V128" s="603"/>
      <c r="W128" s="603"/>
      <c r="X128" s="603"/>
      <c r="Y128" s="603"/>
      <c r="Z128" s="603"/>
      <c r="AA128" s="603"/>
      <c r="AB128" s="603"/>
      <c r="AC128" s="603"/>
      <c r="AD128" s="603"/>
      <c r="AE128" s="664"/>
      <c r="AF128" s="611"/>
      <c r="AG128" s="611"/>
      <c r="AH128" s="611"/>
      <c r="AI128" s="611"/>
      <c r="AJ128" s="611"/>
      <c r="AK128" s="611"/>
      <c r="AL128" s="611"/>
      <c r="AM128" s="611"/>
      <c r="AN128" s="611"/>
      <c r="AO128" s="119"/>
      <c r="AP128" s="114"/>
      <c r="AQ128" s="114"/>
      <c r="AR128" s="115"/>
      <c r="AS128" s="115"/>
      <c r="AT128" s="115"/>
      <c r="AU128" s="115"/>
      <c r="AV128" s="115"/>
      <c r="AW128" s="115"/>
      <c r="AX128" s="115"/>
      <c r="AY128" s="122"/>
      <c r="AZ128" s="122"/>
      <c r="BA128" s="122"/>
      <c r="BB128" s="122"/>
      <c r="BC128" s="122"/>
      <c r="BD128" s="122"/>
      <c r="BE128" s="122"/>
      <c r="BF128" s="122"/>
      <c r="BG128" s="122"/>
      <c r="BH128" s="122"/>
      <c r="BI128" s="122"/>
    </row>
    <row r="129" spans="1:64" s="657" customFormat="1" ht="30.25" customHeight="1" x14ac:dyDescent="0.25">
      <c r="A129" s="593" t="s">
        <v>2592</v>
      </c>
      <c r="B129" s="593" t="s">
        <v>3491</v>
      </c>
      <c r="C129" s="594" t="str">
        <f t="shared" si="23"/>
        <v>OPEL Zafira-e-Business Edition (50 kWh) Länge M</v>
      </c>
      <c r="D129" s="593" t="s">
        <v>2741</v>
      </c>
      <c r="E129" s="593">
        <v>100</v>
      </c>
      <c r="F129" s="593" t="s">
        <v>2521</v>
      </c>
      <c r="G129" s="642">
        <v>23.9</v>
      </c>
      <c r="H129" s="593"/>
      <c r="I129" s="593">
        <v>0</v>
      </c>
      <c r="J129" s="595"/>
      <c r="K129" s="595"/>
      <c r="L129" s="595">
        <v>58600</v>
      </c>
      <c r="M129" s="596"/>
      <c r="N129" s="643" t="s">
        <v>2875</v>
      </c>
      <c r="O129" s="659"/>
      <c r="P129" s="603"/>
      <c r="Q129" s="603"/>
      <c r="R129" s="603"/>
      <c r="S129" s="603"/>
      <c r="T129" s="603"/>
      <c r="U129" s="603"/>
      <c r="V129" s="603"/>
      <c r="W129" s="603"/>
      <c r="X129" s="603"/>
      <c r="Y129" s="603"/>
      <c r="Z129" s="603"/>
      <c r="AA129" s="603"/>
      <c r="AB129" s="603"/>
      <c r="AC129" s="603"/>
      <c r="AD129" s="603"/>
      <c r="AE129" s="664"/>
      <c r="AF129" s="611"/>
      <c r="AG129" s="611"/>
      <c r="AH129" s="611"/>
      <c r="AI129" s="611"/>
      <c r="AJ129" s="611"/>
      <c r="AK129" s="611"/>
      <c r="AL129" s="611"/>
      <c r="AM129" s="611"/>
      <c r="AN129" s="611"/>
      <c r="AO129" s="119"/>
      <c r="AP129" s="114"/>
      <c r="AQ129" s="114"/>
      <c r="AR129" s="115"/>
      <c r="AS129" s="115"/>
      <c r="AT129" s="115"/>
      <c r="AU129" s="115"/>
      <c r="AV129" s="115"/>
      <c r="AW129" s="115"/>
      <c r="AX129" s="115"/>
      <c r="AY129" s="122"/>
      <c r="AZ129" s="122"/>
      <c r="BA129" s="122"/>
      <c r="BB129" s="122"/>
      <c r="BC129" s="122"/>
      <c r="BD129" s="122"/>
      <c r="BE129" s="122"/>
      <c r="BF129" s="122"/>
      <c r="BG129" s="122"/>
      <c r="BH129" s="122"/>
      <c r="BI129" s="122"/>
    </row>
    <row r="130" spans="1:64" s="657" customFormat="1" ht="30.25" customHeight="1" x14ac:dyDescent="0.25">
      <c r="A130" s="593" t="s">
        <v>2592</v>
      </c>
      <c r="B130" s="593" t="s">
        <v>3492</v>
      </c>
      <c r="C130" s="594" t="str">
        <f t="shared" si="23"/>
        <v>OPEL Zafira-e-Business Edition (50 kWh) Länge L</v>
      </c>
      <c r="D130" s="593" t="s">
        <v>2741</v>
      </c>
      <c r="E130" s="593">
        <v>100</v>
      </c>
      <c r="F130" s="593" t="s">
        <v>2521</v>
      </c>
      <c r="G130" s="642">
        <v>23.9</v>
      </c>
      <c r="H130" s="593"/>
      <c r="I130" s="593">
        <v>0</v>
      </c>
      <c r="J130" s="595"/>
      <c r="K130" s="595"/>
      <c r="L130" s="595">
        <v>59100</v>
      </c>
      <c r="M130" s="596"/>
      <c r="N130" s="643" t="s">
        <v>2875</v>
      </c>
      <c r="O130" s="659"/>
      <c r="P130" s="603"/>
      <c r="Q130" s="603"/>
      <c r="R130" s="603"/>
      <c r="S130" s="603"/>
      <c r="T130" s="603"/>
      <c r="U130" s="603"/>
      <c r="V130" s="603"/>
      <c r="W130" s="603"/>
      <c r="X130" s="603"/>
      <c r="Y130" s="603"/>
      <c r="Z130" s="603"/>
      <c r="AA130" s="603"/>
      <c r="AB130" s="603"/>
      <c r="AC130" s="603"/>
      <c r="AD130" s="603"/>
      <c r="AE130" s="664"/>
      <c r="AF130" s="611"/>
      <c r="AG130" s="611"/>
      <c r="AH130" s="611"/>
      <c r="AI130" s="611"/>
      <c r="AJ130" s="611"/>
      <c r="AK130" s="611"/>
      <c r="AL130" s="611"/>
      <c r="AM130" s="611"/>
      <c r="AN130" s="611"/>
      <c r="AO130" s="119"/>
      <c r="AP130" s="114"/>
      <c r="AQ130" s="114"/>
      <c r="AR130" s="115"/>
      <c r="AS130" s="115"/>
      <c r="AT130" s="115"/>
      <c r="AU130" s="115"/>
      <c r="AV130" s="115"/>
      <c r="AW130" s="115"/>
      <c r="AX130" s="115"/>
      <c r="AY130" s="122"/>
      <c r="AZ130" s="122"/>
      <c r="BA130" s="122"/>
      <c r="BB130" s="122"/>
      <c r="BC130" s="122"/>
      <c r="BD130" s="122"/>
      <c r="BE130" s="122"/>
      <c r="BF130" s="122"/>
      <c r="BG130" s="122"/>
      <c r="BH130" s="122"/>
      <c r="BI130" s="122"/>
    </row>
    <row r="131" spans="1:64" s="657" customFormat="1" ht="30.25" customHeight="1" x14ac:dyDescent="0.25">
      <c r="A131" s="593" t="s">
        <v>2592</v>
      </c>
      <c r="B131" s="593" t="s">
        <v>3495</v>
      </c>
      <c r="C131" s="594" t="str">
        <f t="shared" ref="C131:C136" si="24">CONCATENATE(A131," ",B131)</f>
        <v>OPEL Zafira-e-Business Edition (75 kWh) Länge S</v>
      </c>
      <c r="D131" s="593" t="s">
        <v>2741</v>
      </c>
      <c r="E131" s="593">
        <v>100</v>
      </c>
      <c r="F131" s="593" t="s">
        <v>2521</v>
      </c>
      <c r="G131" s="642">
        <v>25.9</v>
      </c>
      <c r="H131" s="593"/>
      <c r="I131" s="593">
        <v>0</v>
      </c>
      <c r="J131" s="595"/>
      <c r="K131" s="595"/>
      <c r="L131" s="595" t="s">
        <v>801</v>
      </c>
      <c r="M131" s="596"/>
      <c r="N131" s="643" t="s">
        <v>2875</v>
      </c>
      <c r="O131" s="659"/>
      <c r="P131" s="603"/>
      <c r="Q131" s="603"/>
      <c r="R131" s="603"/>
      <c r="S131" s="603"/>
      <c r="T131" s="603"/>
      <c r="U131" s="603"/>
      <c r="V131" s="603"/>
      <c r="W131" s="603"/>
      <c r="X131" s="603"/>
      <c r="Y131" s="603"/>
      <c r="Z131" s="603"/>
      <c r="AA131" s="603"/>
      <c r="AB131" s="603"/>
      <c r="AC131" s="603"/>
      <c r="AD131" s="603"/>
      <c r="AE131" s="664"/>
      <c r="AF131" s="611"/>
      <c r="AG131" s="611"/>
      <c r="AH131" s="611"/>
      <c r="AI131" s="611"/>
      <c r="AJ131" s="611"/>
      <c r="AK131" s="611"/>
      <c r="AL131" s="611"/>
      <c r="AM131" s="611"/>
      <c r="AN131" s="611"/>
      <c r="AO131" s="119"/>
      <c r="AP131" s="114"/>
      <c r="AQ131" s="114"/>
      <c r="AR131" s="115"/>
      <c r="AS131" s="115"/>
      <c r="AT131" s="115"/>
      <c r="AU131" s="115"/>
      <c r="AV131" s="115"/>
      <c r="AW131" s="115"/>
      <c r="AX131" s="115"/>
      <c r="AY131" s="122"/>
      <c r="AZ131" s="122"/>
      <c r="BA131" s="122"/>
      <c r="BB131" s="122"/>
      <c r="BC131" s="122"/>
      <c r="BD131" s="122"/>
      <c r="BE131" s="122"/>
      <c r="BF131" s="122"/>
      <c r="BG131" s="122"/>
      <c r="BH131" s="122"/>
      <c r="BI131" s="122"/>
    </row>
    <row r="132" spans="1:64" s="657" customFormat="1" ht="30.25" customHeight="1" x14ac:dyDescent="0.25">
      <c r="A132" s="593" t="s">
        <v>2592</v>
      </c>
      <c r="B132" s="593" t="s">
        <v>3496</v>
      </c>
      <c r="C132" s="594" t="str">
        <f t="shared" si="24"/>
        <v>OPEL Zafira-e-Business Edition (75 kWh) Länge M</v>
      </c>
      <c r="D132" s="593" t="s">
        <v>2741</v>
      </c>
      <c r="E132" s="593">
        <v>100</v>
      </c>
      <c r="F132" s="593" t="s">
        <v>2521</v>
      </c>
      <c r="G132" s="642">
        <v>25.9</v>
      </c>
      <c r="H132" s="593"/>
      <c r="I132" s="593">
        <v>0</v>
      </c>
      <c r="J132" s="595"/>
      <c r="K132" s="595"/>
      <c r="L132" s="595">
        <v>64600</v>
      </c>
      <c r="M132" s="596"/>
      <c r="N132" s="643" t="s">
        <v>2875</v>
      </c>
      <c r="O132" s="659"/>
      <c r="P132" s="603"/>
      <c r="Q132" s="603"/>
      <c r="R132" s="603"/>
      <c r="S132" s="603"/>
      <c r="T132" s="603"/>
      <c r="U132" s="603"/>
      <c r="V132" s="603"/>
      <c r="W132" s="603"/>
      <c r="X132" s="603"/>
      <c r="Y132" s="603"/>
      <c r="Z132" s="603"/>
      <c r="AA132" s="603"/>
      <c r="AB132" s="603"/>
      <c r="AC132" s="603"/>
      <c r="AD132" s="603"/>
      <c r="AE132" s="664"/>
      <c r="AF132" s="611"/>
      <c r="AG132" s="611"/>
      <c r="AH132" s="611"/>
      <c r="AI132" s="611"/>
      <c r="AJ132" s="611"/>
      <c r="AK132" s="611"/>
      <c r="AL132" s="611"/>
      <c r="AM132" s="611"/>
      <c r="AN132" s="611"/>
      <c r="AO132" s="119"/>
      <c r="AP132" s="114"/>
      <c r="AQ132" s="114"/>
      <c r="AR132" s="115"/>
      <c r="AS132" s="115"/>
      <c r="AT132" s="115"/>
      <c r="AU132" s="115"/>
      <c r="AV132" s="115"/>
      <c r="AW132" s="115"/>
      <c r="AX132" s="115"/>
      <c r="AY132" s="122"/>
      <c r="AZ132" s="122"/>
      <c r="BA132" s="122"/>
      <c r="BB132" s="122"/>
      <c r="BC132" s="122"/>
      <c r="BD132" s="122"/>
      <c r="BE132" s="122"/>
      <c r="BF132" s="122"/>
      <c r="BG132" s="122"/>
      <c r="BH132" s="122"/>
      <c r="BI132" s="122"/>
    </row>
    <row r="133" spans="1:64" s="657" customFormat="1" ht="30.25" customHeight="1" x14ac:dyDescent="0.25">
      <c r="A133" s="593" t="s">
        <v>2592</v>
      </c>
      <c r="B133" s="593" t="s">
        <v>3494</v>
      </c>
      <c r="C133" s="594" t="str">
        <f t="shared" si="24"/>
        <v>OPEL Zafira-e-Business Edition (75 kWh) Länge L</v>
      </c>
      <c r="D133" s="593" t="s">
        <v>2741</v>
      </c>
      <c r="E133" s="593">
        <v>100</v>
      </c>
      <c r="F133" s="593" t="s">
        <v>2521</v>
      </c>
      <c r="G133" s="642">
        <v>25.9</v>
      </c>
      <c r="H133" s="593"/>
      <c r="I133" s="593">
        <v>0</v>
      </c>
      <c r="J133" s="595"/>
      <c r="K133" s="595"/>
      <c r="L133" s="595">
        <v>65100</v>
      </c>
      <c r="M133" s="596"/>
      <c r="N133" s="643" t="s">
        <v>2875</v>
      </c>
      <c r="O133" s="659"/>
      <c r="P133" s="603"/>
      <c r="Q133" s="603"/>
      <c r="R133" s="603"/>
      <c r="S133" s="603"/>
      <c r="T133" s="603"/>
      <c r="U133" s="603"/>
      <c r="V133" s="603"/>
      <c r="W133" s="603"/>
      <c r="X133" s="603"/>
      <c r="Y133" s="603"/>
      <c r="Z133" s="603"/>
      <c r="AA133" s="603"/>
      <c r="AB133" s="603"/>
      <c r="AC133" s="603"/>
      <c r="AD133" s="603"/>
      <c r="AE133" s="664"/>
      <c r="AF133" s="611"/>
      <c r="AG133" s="611"/>
      <c r="AH133" s="611"/>
      <c r="AI133" s="611"/>
      <c r="AJ133" s="611"/>
      <c r="AK133" s="611"/>
      <c r="AL133" s="611"/>
      <c r="AM133" s="611"/>
      <c r="AN133" s="611"/>
      <c r="AO133" s="119"/>
      <c r="AP133" s="114"/>
      <c r="AQ133" s="114"/>
      <c r="AR133" s="115"/>
      <c r="AS133" s="115"/>
      <c r="AT133" s="115"/>
      <c r="AU133" s="115"/>
      <c r="AV133" s="115"/>
      <c r="AW133" s="115"/>
      <c r="AX133" s="115"/>
      <c r="AY133" s="122"/>
      <c r="AZ133" s="122"/>
      <c r="BA133" s="122"/>
      <c r="BB133" s="122"/>
      <c r="BC133" s="122"/>
      <c r="BD133" s="122"/>
      <c r="BE133" s="122"/>
      <c r="BF133" s="122"/>
      <c r="BG133" s="122"/>
      <c r="BH133" s="122"/>
      <c r="BI133" s="122"/>
    </row>
    <row r="134" spans="1:64" s="657" customFormat="1" ht="30.25" customHeight="1" x14ac:dyDescent="0.25">
      <c r="A134" s="593" t="s">
        <v>2592</v>
      </c>
      <c r="B134" s="593" t="s">
        <v>3497</v>
      </c>
      <c r="C134" s="594" t="str">
        <f t="shared" si="24"/>
        <v>OPEL Zafira-e-Business Elegance Edition (50 kWh) Länge S</v>
      </c>
      <c r="D134" s="593" t="s">
        <v>2741</v>
      </c>
      <c r="E134" s="593">
        <v>100</v>
      </c>
      <c r="F134" s="593" t="s">
        <v>2521</v>
      </c>
      <c r="G134" s="642">
        <v>23.9</v>
      </c>
      <c r="H134" s="593"/>
      <c r="I134" s="593">
        <v>0</v>
      </c>
      <c r="J134" s="595"/>
      <c r="K134" s="595"/>
      <c r="L134" s="595" t="s">
        <v>801</v>
      </c>
      <c r="M134" s="596"/>
      <c r="N134" s="643" t="s">
        <v>2875</v>
      </c>
      <c r="O134" s="659"/>
      <c r="P134" s="603"/>
      <c r="Q134" s="603"/>
      <c r="R134" s="603"/>
      <c r="S134" s="603"/>
      <c r="T134" s="603"/>
      <c r="U134" s="603"/>
      <c r="V134" s="603"/>
      <c r="W134" s="603"/>
      <c r="X134" s="603"/>
      <c r="Y134" s="603"/>
      <c r="Z134" s="603"/>
      <c r="AA134" s="603"/>
      <c r="AB134" s="603"/>
      <c r="AC134" s="603"/>
      <c r="AD134" s="603"/>
      <c r="AE134" s="664"/>
      <c r="AF134" s="611"/>
      <c r="AG134" s="611"/>
      <c r="AH134" s="611"/>
      <c r="AI134" s="611"/>
      <c r="AJ134" s="611"/>
      <c r="AK134" s="611"/>
      <c r="AL134" s="611"/>
      <c r="AM134" s="611"/>
      <c r="AN134" s="611"/>
      <c r="AO134" s="119"/>
      <c r="AP134" s="114"/>
      <c r="AQ134" s="114"/>
      <c r="AR134" s="115"/>
      <c r="AS134" s="115"/>
      <c r="AT134" s="115"/>
      <c r="AU134" s="115"/>
      <c r="AV134" s="115"/>
      <c r="AW134" s="115"/>
      <c r="AX134" s="115"/>
      <c r="AY134" s="122"/>
      <c r="AZ134" s="122"/>
      <c r="BA134" s="122"/>
      <c r="BB134" s="122"/>
      <c r="BC134" s="122"/>
      <c r="BD134" s="122"/>
      <c r="BE134" s="122"/>
      <c r="BF134" s="122"/>
      <c r="BG134" s="122"/>
      <c r="BH134" s="122"/>
      <c r="BI134" s="122"/>
    </row>
    <row r="135" spans="1:64" s="657" customFormat="1" ht="30.25" customHeight="1" x14ac:dyDescent="0.25">
      <c r="A135" s="593" t="s">
        <v>2592</v>
      </c>
      <c r="B135" s="593" t="s">
        <v>3498</v>
      </c>
      <c r="C135" s="594" t="str">
        <f t="shared" si="24"/>
        <v>OPEL Zafira-e-Business Elegance Edition (50 kWh) Länge M</v>
      </c>
      <c r="D135" s="593" t="s">
        <v>2741</v>
      </c>
      <c r="E135" s="593">
        <v>100</v>
      </c>
      <c r="F135" s="593" t="s">
        <v>2521</v>
      </c>
      <c r="G135" s="642">
        <v>23.9</v>
      </c>
      <c r="H135" s="593"/>
      <c r="I135" s="593">
        <v>0</v>
      </c>
      <c r="J135" s="595"/>
      <c r="K135" s="595"/>
      <c r="L135" s="595">
        <v>66650</v>
      </c>
      <c r="M135" s="596"/>
      <c r="N135" s="643" t="s">
        <v>2875</v>
      </c>
      <c r="O135" s="659"/>
      <c r="P135" s="603"/>
      <c r="Q135" s="603"/>
      <c r="R135" s="603"/>
      <c r="S135" s="603"/>
      <c r="T135" s="603"/>
      <c r="U135" s="603"/>
      <c r="V135" s="603"/>
      <c r="W135" s="603"/>
      <c r="X135" s="603"/>
      <c r="Y135" s="603"/>
      <c r="Z135" s="603"/>
      <c r="AA135" s="603"/>
      <c r="AB135" s="603"/>
      <c r="AC135" s="603"/>
      <c r="AD135" s="603"/>
      <c r="AE135" s="664"/>
      <c r="AF135" s="611"/>
      <c r="AG135" s="611"/>
      <c r="AH135" s="611"/>
      <c r="AI135" s="611"/>
      <c r="AJ135" s="611"/>
      <c r="AK135" s="611"/>
      <c r="AL135" s="611"/>
      <c r="AM135" s="611"/>
      <c r="AN135" s="611"/>
      <c r="AO135" s="119"/>
      <c r="AP135" s="114"/>
      <c r="AQ135" s="114"/>
      <c r="AR135" s="115"/>
      <c r="AS135" s="115"/>
      <c r="AT135" s="115"/>
      <c r="AU135" s="115"/>
      <c r="AV135" s="115"/>
      <c r="AW135" s="115"/>
      <c r="AX135" s="115"/>
      <c r="AY135" s="122"/>
      <c r="AZ135" s="122"/>
      <c r="BA135" s="122"/>
      <c r="BB135" s="122"/>
      <c r="BC135" s="122"/>
      <c r="BD135" s="122"/>
      <c r="BE135" s="122"/>
      <c r="BF135" s="122"/>
      <c r="BG135" s="122"/>
      <c r="BH135" s="122"/>
      <c r="BI135" s="122"/>
    </row>
    <row r="136" spans="1:64" s="657" customFormat="1" ht="30.25" customHeight="1" x14ac:dyDescent="0.25">
      <c r="A136" s="593" t="s">
        <v>2592</v>
      </c>
      <c r="B136" s="593" t="s">
        <v>3499</v>
      </c>
      <c r="C136" s="594" t="str">
        <f t="shared" si="24"/>
        <v>OPEL Zafira-e-Business Elegance Edition (50 kWh) Länge L</v>
      </c>
      <c r="D136" s="593" t="s">
        <v>2741</v>
      </c>
      <c r="E136" s="593">
        <v>100</v>
      </c>
      <c r="F136" s="593" t="s">
        <v>2521</v>
      </c>
      <c r="G136" s="642">
        <v>23.9</v>
      </c>
      <c r="H136" s="593"/>
      <c r="I136" s="593">
        <v>0</v>
      </c>
      <c r="J136" s="595"/>
      <c r="K136" s="595"/>
      <c r="L136" s="595">
        <v>67150</v>
      </c>
      <c r="M136" s="596"/>
      <c r="N136" s="643" t="s">
        <v>2875</v>
      </c>
      <c r="O136" s="659"/>
      <c r="P136" s="603"/>
      <c r="Q136" s="603"/>
      <c r="R136" s="603"/>
      <c r="S136" s="603"/>
      <c r="T136" s="603"/>
      <c r="U136" s="603"/>
      <c r="V136" s="603"/>
      <c r="W136" s="603"/>
      <c r="X136" s="603"/>
      <c r="Y136" s="603"/>
      <c r="Z136" s="603"/>
      <c r="AA136" s="603"/>
      <c r="AB136" s="603"/>
      <c r="AC136" s="603"/>
      <c r="AD136" s="603"/>
      <c r="AE136" s="664"/>
      <c r="AF136" s="611"/>
      <c r="AG136" s="611"/>
      <c r="AH136" s="611"/>
      <c r="AI136" s="611"/>
      <c r="AJ136" s="611"/>
      <c r="AK136" s="611"/>
      <c r="AL136" s="611"/>
      <c r="AM136" s="611"/>
      <c r="AN136" s="611"/>
      <c r="AO136" s="119"/>
      <c r="AP136" s="114"/>
      <c r="AQ136" s="114"/>
      <c r="AR136" s="115"/>
      <c r="AS136" s="115"/>
      <c r="AT136" s="115"/>
      <c r="AU136" s="115"/>
      <c r="AV136" s="115"/>
      <c r="AW136" s="115"/>
      <c r="AX136" s="115"/>
      <c r="AY136" s="122"/>
      <c r="AZ136" s="122"/>
      <c r="BA136" s="122"/>
      <c r="BB136" s="122"/>
      <c r="BC136" s="122"/>
      <c r="BD136" s="122"/>
      <c r="BE136" s="122"/>
      <c r="BF136" s="122"/>
      <c r="BG136" s="122"/>
      <c r="BH136" s="122"/>
      <c r="BI136" s="122"/>
    </row>
    <row r="137" spans="1:64" s="657" customFormat="1" ht="30.25" customHeight="1" x14ac:dyDescent="0.25">
      <c r="A137" s="593" t="s">
        <v>2592</v>
      </c>
      <c r="B137" s="593" t="s">
        <v>3500</v>
      </c>
      <c r="C137" s="594" t="str">
        <f t="shared" ref="C137:C139" si="25">CONCATENATE(A137," ",B137)</f>
        <v>OPEL Zafira-e-Business Elegance Edition (75 kWh) Länge S</v>
      </c>
      <c r="D137" s="593" t="s">
        <v>2741</v>
      </c>
      <c r="E137" s="593">
        <v>100</v>
      </c>
      <c r="F137" s="593" t="s">
        <v>2521</v>
      </c>
      <c r="G137" s="642">
        <v>25.9</v>
      </c>
      <c r="H137" s="593"/>
      <c r="I137" s="593">
        <v>0</v>
      </c>
      <c r="J137" s="595"/>
      <c r="K137" s="595"/>
      <c r="L137" s="595" t="s">
        <v>801</v>
      </c>
      <c r="M137" s="596"/>
      <c r="N137" s="643" t="s">
        <v>2875</v>
      </c>
      <c r="O137" s="659"/>
      <c r="P137" s="603"/>
      <c r="Q137" s="603"/>
      <c r="R137" s="603"/>
      <c r="S137" s="603"/>
      <c r="T137" s="603"/>
      <c r="U137" s="603"/>
      <c r="V137" s="603"/>
      <c r="W137" s="603"/>
      <c r="X137" s="603"/>
      <c r="Y137" s="603"/>
      <c r="Z137" s="603"/>
      <c r="AA137" s="603"/>
      <c r="AB137" s="603"/>
      <c r="AC137" s="603"/>
      <c r="AD137" s="603"/>
      <c r="AE137" s="664"/>
      <c r="AF137" s="611"/>
      <c r="AG137" s="611"/>
      <c r="AH137" s="611"/>
      <c r="AI137" s="611"/>
      <c r="AJ137" s="611"/>
      <c r="AK137" s="611"/>
      <c r="AL137" s="611"/>
      <c r="AM137" s="611"/>
      <c r="AN137" s="611"/>
      <c r="AO137" s="119"/>
      <c r="AP137" s="114"/>
      <c r="AQ137" s="114"/>
      <c r="AR137" s="115"/>
      <c r="AS137" s="115"/>
      <c r="AT137" s="115"/>
      <c r="AU137" s="115"/>
      <c r="AV137" s="115"/>
      <c r="AW137" s="115"/>
      <c r="AX137" s="115"/>
      <c r="AY137" s="122"/>
      <c r="AZ137" s="122"/>
      <c r="BA137" s="122"/>
      <c r="BB137" s="122"/>
      <c r="BC137" s="122"/>
      <c r="BD137" s="122"/>
      <c r="BE137" s="122"/>
      <c r="BF137" s="122"/>
      <c r="BG137" s="122"/>
      <c r="BH137" s="122"/>
      <c r="BI137" s="122"/>
    </row>
    <row r="138" spans="1:64" s="657" customFormat="1" ht="30.25" customHeight="1" x14ac:dyDescent="0.25">
      <c r="A138" s="593" t="s">
        <v>2592</v>
      </c>
      <c r="B138" s="593" t="s">
        <v>3501</v>
      </c>
      <c r="C138" s="594" t="str">
        <f t="shared" si="25"/>
        <v>OPEL Zafira-e-Business Elegance Edition (75 kWh) Länge M</v>
      </c>
      <c r="D138" s="593" t="s">
        <v>2741</v>
      </c>
      <c r="E138" s="593">
        <v>100</v>
      </c>
      <c r="F138" s="593" t="s">
        <v>2521</v>
      </c>
      <c r="G138" s="642">
        <v>25.9</v>
      </c>
      <c r="H138" s="593"/>
      <c r="I138" s="593">
        <v>0</v>
      </c>
      <c r="J138" s="595"/>
      <c r="K138" s="595"/>
      <c r="L138" s="595">
        <v>72650</v>
      </c>
      <c r="M138" s="596"/>
      <c r="N138" s="643" t="s">
        <v>2875</v>
      </c>
      <c r="O138" s="659"/>
      <c r="P138" s="603"/>
      <c r="Q138" s="603"/>
      <c r="R138" s="603"/>
      <c r="S138" s="603"/>
      <c r="T138" s="603"/>
      <c r="U138" s="603"/>
      <c r="V138" s="603"/>
      <c r="W138" s="603"/>
      <c r="X138" s="603"/>
      <c r="Y138" s="603"/>
      <c r="Z138" s="603"/>
      <c r="AA138" s="603"/>
      <c r="AB138" s="603"/>
      <c r="AC138" s="603"/>
      <c r="AD138" s="603"/>
      <c r="AE138" s="664"/>
      <c r="AF138" s="611"/>
      <c r="AG138" s="611"/>
      <c r="AH138" s="611"/>
      <c r="AI138" s="611"/>
      <c r="AJ138" s="611"/>
      <c r="AK138" s="611"/>
      <c r="AL138" s="611"/>
      <c r="AM138" s="611"/>
      <c r="AN138" s="611"/>
      <c r="AO138" s="119"/>
      <c r="AP138" s="114"/>
      <c r="AQ138" s="114"/>
      <c r="AR138" s="115"/>
      <c r="AS138" s="115"/>
      <c r="AT138" s="115"/>
      <c r="AU138" s="115"/>
      <c r="AV138" s="115"/>
      <c r="AW138" s="115"/>
      <c r="AX138" s="115"/>
      <c r="AY138" s="122"/>
      <c r="AZ138" s="122"/>
      <c r="BA138" s="122"/>
      <c r="BB138" s="122"/>
      <c r="BC138" s="122"/>
      <c r="BD138" s="122"/>
      <c r="BE138" s="122"/>
      <c r="BF138" s="122"/>
      <c r="BG138" s="122"/>
      <c r="BH138" s="122"/>
      <c r="BI138" s="122"/>
    </row>
    <row r="139" spans="1:64" s="657" customFormat="1" ht="30.25" customHeight="1" x14ac:dyDescent="0.25">
      <c r="A139" s="593" t="s">
        <v>2592</v>
      </c>
      <c r="B139" s="593" t="s">
        <v>3502</v>
      </c>
      <c r="C139" s="594" t="str">
        <f t="shared" si="25"/>
        <v>OPEL Zafira-e-Business Elegance Edition (75 kWh) Länge L</v>
      </c>
      <c r="D139" s="593" t="s">
        <v>2741</v>
      </c>
      <c r="E139" s="593">
        <v>100</v>
      </c>
      <c r="F139" s="593" t="s">
        <v>2521</v>
      </c>
      <c r="G139" s="642">
        <v>25.9</v>
      </c>
      <c r="H139" s="593"/>
      <c r="I139" s="593">
        <v>0</v>
      </c>
      <c r="J139" s="595"/>
      <c r="K139" s="595"/>
      <c r="L139" s="595">
        <v>73150</v>
      </c>
      <c r="M139" s="596"/>
      <c r="N139" s="643" t="s">
        <v>2875</v>
      </c>
      <c r="O139" s="659"/>
      <c r="P139" s="603"/>
      <c r="Q139" s="603"/>
      <c r="R139" s="603"/>
      <c r="S139" s="603"/>
      <c r="T139" s="603"/>
      <c r="U139" s="603"/>
      <c r="V139" s="603"/>
      <c r="W139" s="603"/>
      <c r="X139" s="603"/>
      <c r="Y139" s="603"/>
      <c r="Z139" s="603"/>
      <c r="AA139" s="603"/>
      <c r="AB139" s="603"/>
      <c r="AC139" s="603"/>
      <c r="AD139" s="603"/>
      <c r="AE139" s="664"/>
      <c r="AF139" s="611"/>
      <c r="AG139" s="611"/>
      <c r="AH139" s="611"/>
      <c r="AI139" s="611"/>
      <c r="AJ139" s="611"/>
      <c r="AK139" s="611"/>
      <c r="AL139" s="611"/>
      <c r="AM139" s="611"/>
      <c r="AN139" s="611"/>
      <c r="AO139" s="119"/>
      <c r="AP139" s="114"/>
      <c r="AQ139" s="114"/>
      <c r="AR139" s="115"/>
      <c r="AS139" s="115"/>
      <c r="AT139" s="115"/>
      <c r="AU139" s="115"/>
      <c r="AV139" s="115"/>
      <c r="AW139" s="115"/>
      <c r="AX139" s="115"/>
      <c r="AY139" s="122"/>
      <c r="AZ139" s="122"/>
      <c r="BA139" s="122"/>
      <c r="BB139" s="122"/>
      <c r="BC139" s="122"/>
      <c r="BD139" s="122"/>
      <c r="BE139" s="122"/>
      <c r="BF139" s="122"/>
      <c r="BG139" s="122"/>
      <c r="BH139" s="122"/>
      <c r="BI139" s="122"/>
    </row>
    <row r="140" spans="1:64" ht="30.25" customHeight="1" x14ac:dyDescent="0.25">
      <c r="A140" s="593" t="s">
        <v>2591</v>
      </c>
      <c r="B140" s="593" t="s">
        <v>3325</v>
      </c>
      <c r="C140" s="594" t="str">
        <f t="shared" si="17"/>
        <v>PEUGEOT e-208 (ACTIVE)</v>
      </c>
      <c r="D140" s="593" t="s">
        <v>2741</v>
      </c>
      <c r="E140" s="593">
        <v>100</v>
      </c>
      <c r="F140" s="593" t="s">
        <v>2521</v>
      </c>
      <c r="G140" s="642">
        <v>16.3</v>
      </c>
      <c r="H140" s="593"/>
      <c r="I140" s="593">
        <v>0</v>
      </c>
      <c r="J140" s="595"/>
      <c r="K140" s="595"/>
      <c r="L140" s="595">
        <v>32450</v>
      </c>
      <c r="M140" s="596"/>
      <c r="N140" s="643" t="s">
        <v>2875</v>
      </c>
      <c r="O140" s="576"/>
      <c r="P140" s="603"/>
      <c r="Q140" s="603"/>
      <c r="R140" s="603"/>
      <c r="S140" s="603"/>
      <c r="T140" s="603"/>
      <c r="U140" s="603"/>
      <c r="V140" s="603"/>
      <c r="W140" s="603"/>
      <c r="X140" s="603"/>
      <c r="Y140" s="603"/>
      <c r="Z140" s="603"/>
      <c r="AA140" s="603"/>
      <c r="AB140" s="603"/>
      <c r="AC140" s="603"/>
      <c r="AD140" s="603"/>
      <c r="AE140" s="664"/>
      <c r="AF140" s="611"/>
      <c r="AG140" s="611"/>
      <c r="AH140" s="611"/>
      <c r="AI140" s="611"/>
      <c r="AJ140" s="611"/>
      <c r="AK140" s="611"/>
      <c r="AL140" s="611"/>
      <c r="AM140" s="611"/>
      <c r="AN140" s="611"/>
      <c r="AO140" s="119"/>
      <c r="AP140" s="114"/>
      <c r="AQ140" s="114"/>
      <c r="AR140" s="115"/>
      <c r="AS140" s="115"/>
      <c r="AT140" s="115"/>
      <c r="AU140" s="115"/>
      <c r="AV140" s="115"/>
      <c r="AW140" s="115"/>
      <c r="AX140" s="115"/>
      <c r="BJ140" s="211"/>
      <c r="BK140" s="211"/>
      <c r="BL140" s="211"/>
    </row>
    <row r="141" spans="1:64" s="657" customFormat="1" ht="30.25" customHeight="1" x14ac:dyDescent="0.25">
      <c r="A141" s="593" t="s">
        <v>2591</v>
      </c>
      <c r="B141" s="593" t="s">
        <v>3503</v>
      </c>
      <c r="C141" s="594" t="str">
        <f t="shared" ref="C141" si="26">CONCATENATE(A141," ",B141)</f>
        <v>PEUGEOT e-208 (ACTIVE PACK)</v>
      </c>
      <c r="D141" s="593" t="s">
        <v>2741</v>
      </c>
      <c r="E141" s="593">
        <v>100</v>
      </c>
      <c r="F141" s="593" t="s">
        <v>2521</v>
      </c>
      <c r="G141" s="642">
        <v>16.3</v>
      </c>
      <c r="H141" s="593"/>
      <c r="I141" s="593">
        <v>0</v>
      </c>
      <c r="J141" s="595"/>
      <c r="K141" s="595"/>
      <c r="L141" s="595">
        <v>33180</v>
      </c>
      <c r="M141" s="596"/>
      <c r="N141" s="643" t="s">
        <v>2875</v>
      </c>
      <c r="O141" s="659"/>
      <c r="P141" s="603"/>
      <c r="Q141" s="603"/>
      <c r="R141" s="603"/>
      <c r="S141" s="603"/>
      <c r="T141" s="603"/>
      <c r="U141" s="603"/>
      <c r="V141" s="603"/>
      <c r="W141" s="603"/>
      <c r="X141" s="603"/>
      <c r="Y141" s="603"/>
      <c r="Z141" s="603"/>
      <c r="AA141" s="603"/>
      <c r="AB141" s="603"/>
      <c r="AC141" s="603"/>
      <c r="AD141" s="603"/>
      <c r="AE141" s="664"/>
      <c r="AF141" s="611"/>
      <c r="AG141" s="611"/>
      <c r="AH141" s="611"/>
      <c r="AI141" s="611"/>
      <c r="AJ141" s="611"/>
      <c r="AK141" s="611"/>
      <c r="AL141" s="611"/>
      <c r="AM141" s="611"/>
      <c r="AN141" s="611"/>
      <c r="AO141" s="119"/>
      <c r="AP141" s="114"/>
      <c r="AQ141" s="114"/>
      <c r="AR141" s="115"/>
      <c r="AS141" s="115"/>
      <c r="AT141" s="115"/>
      <c r="AU141" s="115"/>
      <c r="AV141" s="115"/>
      <c r="AW141" s="115"/>
      <c r="AX141" s="115"/>
      <c r="AY141" s="122"/>
      <c r="AZ141" s="122"/>
      <c r="BA141" s="122"/>
      <c r="BB141" s="122"/>
      <c r="BC141" s="122"/>
      <c r="BD141" s="122"/>
      <c r="BE141" s="122"/>
      <c r="BF141" s="122"/>
      <c r="BG141" s="122"/>
      <c r="BH141" s="122"/>
      <c r="BI141" s="122"/>
    </row>
    <row r="142" spans="1:64" ht="30.25" customHeight="1" x14ac:dyDescent="0.25">
      <c r="A142" s="593" t="s">
        <v>2591</v>
      </c>
      <c r="B142" s="593" t="s">
        <v>3326</v>
      </c>
      <c r="C142" s="594" t="str">
        <f t="shared" si="17"/>
        <v>PEUGEOT e-208 (ALLURE)</v>
      </c>
      <c r="D142" s="593" t="s">
        <v>2741</v>
      </c>
      <c r="E142" s="593">
        <v>100</v>
      </c>
      <c r="F142" s="593" t="s">
        <v>2521</v>
      </c>
      <c r="G142" s="642">
        <v>16.3</v>
      </c>
      <c r="H142" s="593"/>
      <c r="I142" s="593">
        <v>0</v>
      </c>
      <c r="J142" s="595"/>
      <c r="K142" s="595"/>
      <c r="L142" s="595">
        <v>33500</v>
      </c>
      <c r="M142" s="596"/>
      <c r="N142" s="643" t="s">
        <v>2875</v>
      </c>
      <c r="O142" s="576"/>
      <c r="P142" s="603"/>
      <c r="Q142" s="603"/>
      <c r="R142" s="603"/>
      <c r="S142" s="603"/>
      <c r="T142" s="603"/>
      <c r="U142" s="603"/>
      <c r="V142" s="603"/>
      <c r="W142" s="603"/>
      <c r="X142" s="603"/>
      <c r="Y142" s="603"/>
      <c r="Z142" s="603"/>
      <c r="AA142" s="603"/>
      <c r="AB142" s="603"/>
      <c r="AC142" s="603"/>
      <c r="AD142" s="603"/>
      <c r="AE142" s="664"/>
      <c r="AF142" s="611"/>
      <c r="AG142" s="611"/>
      <c r="AH142" s="611"/>
      <c r="AI142" s="611"/>
      <c r="AJ142" s="611"/>
      <c r="AK142" s="611"/>
      <c r="AL142" s="611"/>
      <c r="AM142" s="611"/>
      <c r="AN142" s="611"/>
      <c r="AO142" s="119"/>
      <c r="AP142" s="114"/>
      <c r="AQ142" s="114"/>
      <c r="AR142" s="115"/>
      <c r="AS142" s="115"/>
      <c r="AT142" s="115"/>
      <c r="AU142" s="115"/>
      <c r="AV142" s="115"/>
      <c r="AW142" s="115"/>
      <c r="AX142" s="115"/>
      <c r="BJ142" s="211"/>
      <c r="BK142" s="211"/>
      <c r="BL142" s="211"/>
    </row>
    <row r="143" spans="1:64" s="657" customFormat="1" ht="30.25" customHeight="1" x14ac:dyDescent="0.25">
      <c r="A143" s="593" t="s">
        <v>2591</v>
      </c>
      <c r="B143" s="593" t="s">
        <v>3504</v>
      </c>
      <c r="C143" s="594" t="str">
        <f t="shared" ref="C143" si="27">CONCATENATE(A143," ",B143)</f>
        <v>PEUGEOT e-208 (ALLURE PACK)</v>
      </c>
      <c r="D143" s="593" t="s">
        <v>2741</v>
      </c>
      <c r="E143" s="593">
        <v>100</v>
      </c>
      <c r="F143" s="593" t="s">
        <v>2521</v>
      </c>
      <c r="G143" s="642">
        <v>16.3</v>
      </c>
      <c r="H143" s="593"/>
      <c r="I143" s="593">
        <v>0</v>
      </c>
      <c r="J143" s="595"/>
      <c r="K143" s="595"/>
      <c r="L143" s="595">
        <v>34000</v>
      </c>
      <c r="M143" s="596"/>
      <c r="N143" s="643" t="s">
        <v>2875</v>
      </c>
      <c r="O143" s="659"/>
      <c r="P143" s="603"/>
      <c r="Q143" s="603"/>
      <c r="R143" s="603"/>
      <c r="S143" s="603"/>
      <c r="T143" s="603"/>
      <c r="U143" s="603"/>
      <c r="V143" s="603"/>
      <c r="W143" s="603"/>
      <c r="X143" s="603"/>
      <c r="Y143" s="603"/>
      <c r="Z143" s="603"/>
      <c r="AA143" s="603"/>
      <c r="AB143" s="603"/>
      <c r="AC143" s="603"/>
      <c r="AD143" s="603"/>
      <c r="AE143" s="664"/>
      <c r="AF143" s="611"/>
      <c r="AG143" s="611"/>
      <c r="AH143" s="611"/>
      <c r="AI143" s="611"/>
      <c r="AJ143" s="611"/>
      <c r="AK143" s="611"/>
      <c r="AL143" s="611"/>
      <c r="AM143" s="611"/>
      <c r="AN143" s="611"/>
      <c r="AO143" s="119"/>
      <c r="AP143" s="114"/>
      <c r="AQ143" s="114"/>
      <c r="AR143" s="115"/>
      <c r="AS143" s="115"/>
      <c r="AT143" s="115"/>
      <c r="AU143" s="115"/>
      <c r="AV143" s="115"/>
      <c r="AW143" s="115"/>
      <c r="AX143" s="115"/>
      <c r="AY143" s="122"/>
      <c r="AZ143" s="122"/>
      <c r="BA143" s="122"/>
      <c r="BB143" s="122"/>
      <c r="BC143" s="122"/>
      <c r="BD143" s="122"/>
      <c r="BE143" s="122"/>
      <c r="BF143" s="122"/>
      <c r="BG143" s="122"/>
      <c r="BH143" s="122"/>
      <c r="BI143" s="122"/>
    </row>
    <row r="144" spans="1:64" ht="30.25" customHeight="1" x14ac:dyDescent="0.25">
      <c r="A144" s="593" t="s">
        <v>2591</v>
      </c>
      <c r="B144" s="593" t="s">
        <v>3327</v>
      </c>
      <c r="C144" s="594" t="str">
        <f t="shared" si="17"/>
        <v>PEUGEOT e-208 (GT)</v>
      </c>
      <c r="D144" s="593" t="s">
        <v>2741</v>
      </c>
      <c r="E144" s="593">
        <v>100</v>
      </c>
      <c r="F144" s="593" t="s">
        <v>2521</v>
      </c>
      <c r="G144" s="642">
        <v>16.3</v>
      </c>
      <c r="H144" s="593"/>
      <c r="I144" s="593">
        <v>0</v>
      </c>
      <c r="J144" s="595"/>
      <c r="K144" s="595"/>
      <c r="L144" s="595">
        <v>36400</v>
      </c>
      <c r="M144" s="596"/>
      <c r="N144" s="643" t="s">
        <v>2875</v>
      </c>
      <c r="O144" s="576"/>
      <c r="P144" s="603"/>
      <c r="Q144" s="603"/>
      <c r="R144" s="603"/>
      <c r="S144" s="603"/>
      <c r="T144" s="603"/>
      <c r="U144" s="603"/>
      <c r="V144" s="603"/>
      <c r="W144" s="603"/>
      <c r="X144" s="603"/>
      <c r="Y144" s="603"/>
      <c r="Z144" s="603"/>
      <c r="AA144" s="603"/>
      <c r="AB144" s="603"/>
      <c r="AC144" s="603"/>
      <c r="AD144" s="603"/>
      <c r="AE144" s="664"/>
      <c r="AF144" s="611"/>
      <c r="AG144" s="611"/>
      <c r="AH144" s="611"/>
      <c r="AI144" s="611"/>
      <c r="AJ144" s="611"/>
      <c r="AK144" s="611"/>
      <c r="AL144" s="611"/>
      <c r="AM144" s="611"/>
      <c r="AN144" s="611"/>
      <c r="AO144" s="119"/>
      <c r="AP144" s="114"/>
      <c r="AQ144" s="114"/>
      <c r="AR144" s="115"/>
      <c r="AS144" s="115"/>
      <c r="AT144" s="115"/>
      <c r="AU144" s="115"/>
      <c r="AV144" s="115"/>
      <c r="AW144" s="115"/>
      <c r="AX144" s="115"/>
      <c r="BJ144" s="211"/>
      <c r="BK144" s="211"/>
      <c r="BL144" s="211"/>
    </row>
    <row r="145" spans="1:64" s="657" customFormat="1" ht="30.25" customHeight="1" x14ac:dyDescent="0.25">
      <c r="A145" s="593" t="s">
        <v>2591</v>
      </c>
      <c r="B145" s="593" t="s">
        <v>3505</v>
      </c>
      <c r="C145" s="594" t="str">
        <f t="shared" si="17"/>
        <v>PEUGEOT e-208 (GT PACK)</v>
      </c>
      <c r="D145" s="593" t="s">
        <v>2741</v>
      </c>
      <c r="E145" s="593">
        <v>100</v>
      </c>
      <c r="F145" s="593" t="s">
        <v>2521</v>
      </c>
      <c r="G145" s="642">
        <v>16.3</v>
      </c>
      <c r="H145" s="593"/>
      <c r="I145" s="593">
        <v>0</v>
      </c>
      <c r="J145" s="595"/>
      <c r="K145" s="595"/>
      <c r="L145" s="595">
        <v>38050</v>
      </c>
      <c r="M145" s="596"/>
      <c r="N145" s="643" t="s">
        <v>2875</v>
      </c>
      <c r="O145" s="659"/>
      <c r="P145" s="603"/>
      <c r="Q145" s="603"/>
      <c r="R145" s="603"/>
      <c r="S145" s="603"/>
      <c r="T145" s="603"/>
      <c r="U145" s="603"/>
      <c r="V145" s="603"/>
      <c r="W145" s="603"/>
      <c r="X145" s="603"/>
      <c r="Y145" s="603"/>
      <c r="Z145" s="603"/>
      <c r="AA145" s="603"/>
      <c r="AB145" s="603"/>
      <c r="AC145" s="603"/>
      <c r="AD145" s="603"/>
      <c r="AE145" s="664"/>
      <c r="AF145" s="611"/>
      <c r="AG145" s="611"/>
      <c r="AH145" s="611"/>
      <c r="AI145" s="611"/>
      <c r="AJ145" s="611"/>
      <c r="AK145" s="611"/>
      <c r="AL145" s="611"/>
      <c r="AM145" s="611"/>
      <c r="AN145" s="119"/>
      <c r="AO145" s="119"/>
      <c r="AP145" s="119"/>
      <c r="AQ145" s="119"/>
      <c r="AR145" s="120"/>
      <c r="AS145" s="120"/>
      <c r="AT145" s="120"/>
      <c r="AU145" s="120"/>
      <c r="AV145" s="120"/>
      <c r="AW145" s="120"/>
      <c r="AX145" s="115"/>
      <c r="AY145" s="122"/>
      <c r="AZ145" s="122"/>
      <c r="BA145" s="122"/>
      <c r="BB145" s="122"/>
      <c r="BC145" s="122"/>
      <c r="BD145" s="122"/>
      <c r="BE145" s="122"/>
      <c r="BF145" s="122"/>
      <c r="BG145" s="122"/>
      <c r="BH145" s="122"/>
      <c r="BI145" s="122"/>
    </row>
    <row r="146" spans="1:64" ht="30.25" customHeight="1" x14ac:dyDescent="0.25">
      <c r="A146" s="593" t="s">
        <v>2591</v>
      </c>
      <c r="B146" s="593" t="s">
        <v>3328</v>
      </c>
      <c r="C146" s="594" t="str">
        <f t="shared" si="17"/>
        <v>PEUGEOT e-2008 (ACTIVE)</v>
      </c>
      <c r="D146" s="593" t="s">
        <v>2741</v>
      </c>
      <c r="E146" s="593">
        <v>100</v>
      </c>
      <c r="F146" s="593" t="s">
        <v>2521</v>
      </c>
      <c r="G146" s="642">
        <v>17.8</v>
      </c>
      <c r="H146" s="593"/>
      <c r="I146" s="593">
        <v>0</v>
      </c>
      <c r="J146" s="595"/>
      <c r="K146" s="595"/>
      <c r="L146" s="595">
        <v>38500</v>
      </c>
      <c r="M146" s="596"/>
      <c r="N146" s="643" t="s">
        <v>2875</v>
      </c>
      <c r="O146" s="576"/>
      <c r="P146" s="603"/>
      <c r="Q146" s="603"/>
      <c r="R146" s="603"/>
      <c r="S146" s="603"/>
      <c r="T146" s="603"/>
      <c r="U146" s="603"/>
      <c r="V146" s="603"/>
      <c r="W146" s="603"/>
      <c r="X146" s="603"/>
      <c r="Y146" s="603"/>
      <c r="Z146" s="603"/>
      <c r="AA146" s="603"/>
      <c r="AB146" s="603"/>
      <c r="AC146" s="603"/>
      <c r="AD146" s="603"/>
      <c r="AE146" s="664"/>
      <c r="AF146" s="611"/>
      <c r="AG146" s="611"/>
      <c r="AH146" s="611"/>
      <c r="AI146" s="611"/>
      <c r="AJ146" s="611"/>
      <c r="AK146" s="611"/>
      <c r="AL146" s="611"/>
      <c r="AM146" s="611"/>
      <c r="AN146" s="119"/>
      <c r="AO146" s="119"/>
      <c r="AP146" s="119"/>
      <c r="AQ146" s="119"/>
      <c r="AR146" s="120"/>
      <c r="AS146" s="120"/>
      <c r="AT146" s="120"/>
      <c r="AU146" s="120"/>
      <c r="AV146" s="120"/>
      <c r="AW146" s="120"/>
      <c r="AX146" s="115"/>
      <c r="BJ146" s="211"/>
      <c r="BK146" s="211"/>
      <c r="BL146" s="211"/>
    </row>
    <row r="147" spans="1:64" s="657" customFormat="1" ht="30.25" customHeight="1" x14ac:dyDescent="0.25">
      <c r="A147" s="593" t="s">
        <v>2591</v>
      </c>
      <c r="B147" s="593" t="s">
        <v>3506</v>
      </c>
      <c r="C147" s="594" t="str">
        <f t="shared" ref="C147" si="28">CONCATENATE(A147," ",B147)</f>
        <v>PEUGEOT e-2008 (ACTIVE PACK)</v>
      </c>
      <c r="D147" s="593" t="s">
        <v>2741</v>
      </c>
      <c r="E147" s="593">
        <v>100</v>
      </c>
      <c r="F147" s="593" t="s">
        <v>2521</v>
      </c>
      <c r="G147" s="642">
        <v>17.8</v>
      </c>
      <c r="H147" s="593"/>
      <c r="I147" s="593">
        <v>0</v>
      </c>
      <c r="J147" s="595"/>
      <c r="K147" s="595"/>
      <c r="L147" s="595">
        <v>38950</v>
      </c>
      <c r="M147" s="596"/>
      <c r="N147" s="643" t="s">
        <v>2875</v>
      </c>
      <c r="O147" s="659"/>
      <c r="P147" s="603"/>
      <c r="Q147" s="603"/>
      <c r="R147" s="603"/>
      <c r="S147" s="603"/>
      <c r="T147" s="603"/>
      <c r="U147" s="603"/>
      <c r="V147" s="603"/>
      <c r="W147" s="603"/>
      <c r="X147" s="603"/>
      <c r="Y147" s="603"/>
      <c r="Z147" s="603"/>
      <c r="AA147" s="603"/>
      <c r="AB147" s="603"/>
      <c r="AC147" s="603"/>
      <c r="AD147" s="603"/>
      <c r="AE147" s="664"/>
      <c r="AF147" s="611"/>
      <c r="AG147" s="611"/>
      <c r="AH147" s="611"/>
      <c r="AI147" s="611"/>
      <c r="AJ147" s="611"/>
      <c r="AK147" s="611"/>
      <c r="AL147" s="611"/>
      <c r="AM147" s="611"/>
      <c r="AN147" s="119"/>
      <c r="AO147" s="119"/>
      <c r="AP147" s="119"/>
      <c r="AQ147" s="119"/>
      <c r="AR147" s="120"/>
      <c r="AS147" s="120"/>
      <c r="AT147" s="120"/>
      <c r="AU147" s="120"/>
      <c r="AV147" s="120"/>
      <c r="AW147" s="120"/>
      <c r="AX147" s="115"/>
      <c r="AY147" s="122"/>
      <c r="AZ147" s="122"/>
      <c r="BA147" s="122"/>
      <c r="BB147" s="122"/>
      <c r="BC147" s="122"/>
      <c r="BD147" s="122"/>
      <c r="BE147" s="122"/>
      <c r="BF147" s="122"/>
      <c r="BG147" s="122"/>
      <c r="BH147" s="122"/>
      <c r="BI147" s="122"/>
    </row>
    <row r="148" spans="1:64" ht="30.25" customHeight="1" x14ac:dyDescent="0.25">
      <c r="A148" s="593" t="s">
        <v>2591</v>
      </c>
      <c r="B148" s="593" t="s">
        <v>3329</v>
      </c>
      <c r="C148" s="594" t="str">
        <f t="shared" si="17"/>
        <v>PEUGEOT e-2008 (ALLURE)</v>
      </c>
      <c r="D148" s="593" t="s">
        <v>2741</v>
      </c>
      <c r="E148" s="593">
        <v>100</v>
      </c>
      <c r="F148" s="593" t="s">
        <v>2521</v>
      </c>
      <c r="G148" s="642">
        <v>17.8</v>
      </c>
      <c r="H148" s="593"/>
      <c r="I148" s="593">
        <v>0</v>
      </c>
      <c r="J148" s="595"/>
      <c r="K148" s="595"/>
      <c r="L148" s="595">
        <v>39250</v>
      </c>
      <c r="M148" s="596"/>
      <c r="N148" s="643" t="s">
        <v>2875</v>
      </c>
      <c r="O148" s="576"/>
      <c r="P148" s="603"/>
      <c r="Q148" s="603"/>
      <c r="R148" s="603"/>
      <c r="S148" s="603"/>
      <c r="T148" s="603"/>
      <c r="U148" s="603"/>
      <c r="V148" s="603"/>
      <c r="W148" s="603"/>
      <c r="X148" s="603"/>
      <c r="Y148" s="603"/>
      <c r="Z148" s="603"/>
      <c r="AA148" s="603"/>
      <c r="AB148" s="603"/>
      <c r="AC148" s="603"/>
      <c r="AD148" s="603"/>
      <c r="AE148" s="664"/>
      <c r="AF148" s="611"/>
      <c r="AG148" s="611"/>
      <c r="AH148" s="611"/>
      <c r="AI148" s="611"/>
      <c r="AJ148" s="611"/>
      <c r="AK148" s="611"/>
      <c r="AL148" s="611"/>
      <c r="AM148" s="611"/>
      <c r="AN148" s="119"/>
      <c r="AO148" s="119"/>
      <c r="AP148" s="119"/>
      <c r="AQ148" s="119"/>
      <c r="AR148" s="120"/>
      <c r="AS148" s="120"/>
      <c r="AT148" s="120"/>
      <c r="AU148" s="120"/>
      <c r="AV148" s="120"/>
      <c r="AW148" s="120"/>
      <c r="AX148" s="115"/>
      <c r="BJ148" s="211"/>
      <c r="BK148" s="211"/>
      <c r="BL148" s="211"/>
    </row>
    <row r="149" spans="1:64" s="657" customFormat="1" ht="30.25" customHeight="1" x14ac:dyDescent="0.25">
      <c r="A149" s="593" t="s">
        <v>2591</v>
      </c>
      <c r="B149" s="593" t="s">
        <v>3507</v>
      </c>
      <c r="C149" s="594" t="str">
        <f t="shared" ref="C149" si="29">CONCATENATE(A149," ",B149)</f>
        <v>PEUGEOT e-2008 (ALLURE PACK)</v>
      </c>
      <c r="D149" s="593" t="s">
        <v>2741</v>
      </c>
      <c r="E149" s="593">
        <v>100</v>
      </c>
      <c r="F149" s="593" t="s">
        <v>2521</v>
      </c>
      <c r="G149" s="642">
        <v>17.8</v>
      </c>
      <c r="H149" s="593"/>
      <c r="I149" s="593">
        <v>0</v>
      </c>
      <c r="J149" s="595"/>
      <c r="K149" s="595"/>
      <c r="L149" s="595">
        <v>39900</v>
      </c>
      <c r="M149" s="596"/>
      <c r="N149" s="643" t="s">
        <v>2875</v>
      </c>
      <c r="O149" s="659"/>
      <c r="P149" s="603"/>
      <c r="Q149" s="603"/>
      <c r="R149" s="603"/>
      <c r="S149" s="603"/>
      <c r="T149" s="603"/>
      <c r="U149" s="603"/>
      <c r="V149" s="603"/>
      <c r="W149" s="603"/>
      <c r="X149" s="603"/>
      <c r="Y149" s="603"/>
      <c r="Z149" s="603"/>
      <c r="AA149" s="603"/>
      <c r="AB149" s="603"/>
      <c r="AC149" s="603"/>
      <c r="AD149" s="603"/>
      <c r="AE149" s="664"/>
      <c r="AF149" s="611"/>
      <c r="AG149" s="611"/>
      <c r="AH149" s="611"/>
      <c r="AI149" s="611"/>
      <c r="AJ149" s="611"/>
      <c r="AK149" s="611"/>
      <c r="AL149" s="611"/>
      <c r="AM149" s="611"/>
      <c r="AN149" s="119"/>
      <c r="AO149" s="119"/>
      <c r="AP149" s="119"/>
      <c r="AQ149" s="119"/>
      <c r="AR149" s="120"/>
      <c r="AS149" s="120"/>
      <c r="AT149" s="120"/>
      <c r="AU149" s="120"/>
      <c r="AV149" s="120"/>
      <c r="AW149" s="120"/>
      <c r="AX149" s="115"/>
      <c r="AY149" s="122"/>
      <c r="AZ149" s="122"/>
      <c r="BA149" s="122"/>
      <c r="BB149" s="122"/>
      <c r="BC149" s="122"/>
      <c r="BD149" s="122"/>
      <c r="BE149" s="122"/>
      <c r="BF149" s="122"/>
      <c r="BG149" s="122"/>
      <c r="BH149" s="122"/>
      <c r="BI149" s="122"/>
    </row>
    <row r="150" spans="1:64" ht="30.25" customHeight="1" x14ac:dyDescent="0.25">
      <c r="A150" s="593" t="s">
        <v>2591</v>
      </c>
      <c r="B150" s="593" t="s">
        <v>3330</v>
      </c>
      <c r="C150" s="594" t="str">
        <f t="shared" si="17"/>
        <v>PEUGEOT e-2008 (GT)</v>
      </c>
      <c r="D150" s="593" t="s">
        <v>2741</v>
      </c>
      <c r="E150" s="593">
        <v>100</v>
      </c>
      <c r="F150" s="593" t="s">
        <v>2521</v>
      </c>
      <c r="G150" s="642">
        <v>17.8</v>
      </c>
      <c r="H150" s="593"/>
      <c r="I150" s="593">
        <v>0</v>
      </c>
      <c r="J150" s="595"/>
      <c r="K150" s="595"/>
      <c r="L150" s="595">
        <v>42150</v>
      </c>
      <c r="M150" s="596"/>
      <c r="N150" s="643" t="s">
        <v>2875</v>
      </c>
      <c r="O150" s="576"/>
      <c r="P150" s="603"/>
      <c r="Q150" s="603"/>
      <c r="R150" s="603"/>
      <c r="S150" s="603"/>
      <c r="T150" s="603"/>
      <c r="U150" s="603"/>
      <c r="V150" s="603"/>
      <c r="W150" s="603"/>
      <c r="X150" s="603"/>
      <c r="Y150" s="603"/>
      <c r="Z150" s="603"/>
      <c r="AA150" s="603"/>
      <c r="AB150" s="603"/>
      <c r="AC150" s="603"/>
      <c r="AD150" s="603"/>
      <c r="AE150" s="664"/>
      <c r="AF150" s="611"/>
      <c r="AG150" s="611"/>
      <c r="AH150" s="611"/>
      <c r="AI150" s="611"/>
      <c r="AJ150" s="611"/>
      <c r="AK150" s="611"/>
      <c r="AL150" s="611"/>
      <c r="AM150" s="611"/>
      <c r="AN150" s="119"/>
      <c r="AO150" s="119"/>
      <c r="AP150" s="119"/>
      <c r="AQ150" s="119"/>
      <c r="AR150" s="120"/>
      <c r="AS150" s="120"/>
      <c r="AT150" s="120"/>
      <c r="AU150" s="120"/>
      <c r="AV150" s="120"/>
      <c r="AW150" s="120"/>
      <c r="AX150" s="115"/>
      <c r="BJ150" s="211"/>
      <c r="BK150" s="211"/>
      <c r="BL150" s="211"/>
    </row>
    <row r="151" spans="1:64" s="657" customFormat="1" ht="30.25" customHeight="1" x14ac:dyDescent="0.25">
      <c r="A151" s="593" t="s">
        <v>2591</v>
      </c>
      <c r="B151" s="593" t="s">
        <v>3508</v>
      </c>
      <c r="C151" s="594" t="str">
        <f t="shared" si="17"/>
        <v>PEUGEOT e-2008 (GT PACK)</v>
      </c>
      <c r="D151" s="593" t="s">
        <v>2741</v>
      </c>
      <c r="E151" s="593">
        <v>100</v>
      </c>
      <c r="F151" s="593" t="s">
        <v>2521</v>
      </c>
      <c r="G151" s="642">
        <v>17.8</v>
      </c>
      <c r="H151" s="593"/>
      <c r="I151" s="593">
        <v>0</v>
      </c>
      <c r="J151" s="595"/>
      <c r="K151" s="595"/>
      <c r="L151" s="595">
        <v>43700</v>
      </c>
      <c r="M151" s="596"/>
      <c r="N151" s="643" t="s">
        <v>2875</v>
      </c>
      <c r="O151" s="659"/>
      <c r="P151" s="603"/>
      <c r="Q151" s="603"/>
      <c r="R151" s="603"/>
      <c r="S151" s="603"/>
      <c r="T151" s="603"/>
      <c r="U151" s="603"/>
      <c r="V151" s="603"/>
      <c r="W151" s="603"/>
      <c r="X151" s="603"/>
      <c r="Y151" s="603"/>
      <c r="Z151" s="603"/>
      <c r="AA151" s="603"/>
      <c r="AB151" s="603"/>
      <c r="AC151" s="603"/>
      <c r="AD151" s="603"/>
      <c r="AE151" s="611"/>
      <c r="AF151" s="611"/>
      <c r="AG151" s="611"/>
      <c r="AH151" s="611"/>
      <c r="AI151" s="611"/>
      <c r="AJ151" s="611"/>
      <c r="AK151" s="611"/>
      <c r="AL151" s="611"/>
      <c r="AM151" s="611"/>
      <c r="AN151" s="119"/>
      <c r="AO151" s="119"/>
      <c r="AP151" s="208" t="s">
        <v>2742</v>
      </c>
      <c r="AQ151" s="119"/>
      <c r="AR151" s="119"/>
      <c r="AS151" s="119"/>
      <c r="AT151" s="119"/>
      <c r="AU151" s="119"/>
      <c r="AV151" s="120"/>
      <c r="AW151" s="120"/>
      <c r="AX151" s="115"/>
      <c r="AY151" s="122"/>
      <c r="AZ151" s="122"/>
      <c r="BA151" s="122"/>
      <c r="BB151" s="122"/>
      <c r="BC151" s="122"/>
      <c r="BD151" s="122"/>
      <c r="BE151" s="122"/>
      <c r="BF151" s="122"/>
      <c r="BG151" s="122"/>
      <c r="BH151" s="122"/>
      <c r="BI151" s="122"/>
    </row>
    <row r="152" spans="1:64" s="657" customFormat="1" ht="30.25" customHeight="1" x14ac:dyDescent="0.25">
      <c r="A152" s="593" t="s">
        <v>2591</v>
      </c>
      <c r="B152" s="593" t="s">
        <v>3509</v>
      </c>
      <c r="C152" s="594" t="str">
        <f t="shared" si="17"/>
        <v>PEUGEOT e-TRAVELLER (ACTIVE) Kompakt L1</v>
      </c>
      <c r="D152" s="593" t="s">
        <v>2741</v>
      </c>
      <c r="E152" s="593">
        <v>100</v>
      </c>
      <c r="F152" s="593" t="s">
        <v>2521</v>
      </c>
      <c r="G152" s="642">
        <v>23.9</v>
      </c>
      <c r="H152" s="593"/>
      <c r="I152" s="593">
        <v>0</v>
      </c>
      <c r="J152" s="595"/>
      <c r="K152" s="595"/>
      <c r="L152" s="595">
        <v>57550</v>
      </c>
      <c r="M152" s="596"/>
      <c r="N152" s="643" t="s">
        <v>2875</v>
      </c>
      <c r="O152" s="659"/>
      <c r="P152" s="603"/>
      <c r="Q152" s="603"/>
      <c r="R152" s="603"/>
      <c r="S152" s="603"/>
      <c r="T152" s="603"/>
      <c r="U152" s="603"/>
      <c r="V152" s="603"/>
      <c r="W152" s="603"/>
      <c r="X152" s="603"/>
      <c r="Y152" s="603"/>
      <c r="Z152" s="603"/>
      <c r="AA152" s="603"/>
      <c r="AB152" s="603"/>
      <c r="AC152" s="603"/>
      <c r="AD152" s="603"/>
      <c r="AE152" s="611"/>
      <c r="AF152" s="611"/>
      <c r="AG152" s="611"/>
      <c r="AH152" s="611"/>
      <c r="AI152" s="611"/>
      <c r="AJ152" s="611"/>
      <c r="AK152" s="611"/>
      <c r="AL152" s="611"/>
      <c r="AM152" s="611"/>
      <c r="AN152" s="119"/>
      <c r="AO152" s="119"/>
      <c r="AP152" s="208"/>
      <c r="AQ152" s="119"/>
      <c r="AR152" s="119"/>
      <c r="AS152" s="119"/>
      <c r="AT152" s="119"/>
      <c r="AU152" s="119"/>
      <c r="AV152" s="120"/>
      <c r="AW152" s="120"/>
      <c r="AX152" s="115"/>
      <c r="AY152" s="122"/>
      <c r="AZ152" s="122"/>
      <c r="BA152" s="122"/>
      <c r="BB152" s="122"/>
      <c r="BC152" s="122"/>
      <c r="BD152" s="122"/>
      <c r="BE152" s="122"/>
      <c r="BF152" s="122"/>
      <c r="BG152" s="122"/>
      <c r="BH152" s="122"/>
      <c r="BI152" s="122"/>
    </row>
    <row r="153" spans="1:64" s="657" customFormat="1" ht="30.25" customHeight="1" x14ac:dyDescent="0.25">
      <c r="A153" s="593" t="s">
        <v>2591</v>
      </c>
      <c r="B153" s="593" t="s">
        <v>3510</v>
      </c>
      <c r="C153" s="594" t="str">
        <f t="shared" ref="C153:C154" si="30">CONCATENATE(A153," ",B153)</f>
        <v>PEUGEOT e-TRAVELLER (ACTIVE) Standard L2</v>
      </c>
      <c r="D153" s="593" t="s">
        <v>2741</v>
      </c>
      <c r="E153" s="593">
        <v>100</v>
      </c>
      <c r="F153" s="593" t="s">
        <v>2521</v>
      </c>
      <c r="G153" s="642">
        <v>23.9</v>
      </c>
      <c r="H153" s="593"/>
      <c r="I153" s="593">
        <v>0</v>
      </c>
      <c r="J153" s="595"/>
      <c r="K153" s="595"/>
      <c r="L153" s="595">
        <v>58500</v>
      </c>
      <c r="M153" s="596"/>
      <c r="N153" s="643" t="s">
        <v>2875</v>
      </c>
      <c r="O153" s="659"/>
      <c r="P153" s="603"/>
      <c r="Q153" s="603"/>
      <c r="R153" s="603"/>
      <c r="S153" s="603"/>
      <c r="T153" s="603"/>
      <c r="U153" s="603"/>
      <c r="V153" s="603"/>
      <c r="W153" s="603"/>
      <c r="X153" s="603"/>
      <c r="Y153" s="603"/>
      <c r="Z153" s="603"/>
      <c r="AA153" s="603"/>
      <c r="AB153" s="603"/>
      <c r="AC153" s="603"/>
      <c r="AD153" s="603"/>
      <c r="AE153" s="611"/>
      <c r="AF153" s="611"/>
      <c r="AG153" s="611"/>
      <c r="AH153" s="611"/>
      <c r="AI153" s="611"/>
      <c r="AJ153" s="611"/>
      <c r="AK153" s="611"/>
      <c r="AL153" s="611"/>
      <c r="AM153" s="611"/>
      <c r="AN153" s="119"/>
      <c r="AO153" s="119"/>
      <c r="AP153" s="208"/>
      <c r="AQ153" s="119"/>
      <c r="AR153" s="119"/>
      <c r="AS153" s="119"/>
      <c r="AT153" s="119"/>
      <c r="AU153" s="119"/>
      <c r="AV153" s="120"/>
      <c r="AW153" s="120"/>
      <c r="AX153" s="115"/>
      <c r="AY153" s="122"/>
      <c r="AZ153" s="122"/>
      <c r="BA153" s="122"/>
      <c r="BB153" s="122"/>
      <c r="BC153" s="122"/>
      <c r="BD153" s="122"/>
      <c r="BE153" s="122"/>
      <c r="BF153" s="122"/>
      <c r="BG153" s="122"/>
      <c r="BH153" s="122"/>
      <c r="BI153" s="122"/>
    </row>
    <row r="154" spans="1:64" s="657" customFormat="1" ht="30.25" customHeight="1" x14ac:dyDescent="0.25">
      <c r="A154" s="593" t="s">
        <v>2591</v>
      </c>
      <c r="B154" s="593" t="s">
        <v>3511</v>
      </c>
      <c r="C154" s="594" t="str">
        <f t="shared" si="30"/>
        <v>PEUGEOT e-TRAVELLER (ACTIVE) Lang L3</v>
      </c>
      <c r="D154" s="593" t="s">
        <v>2741</v>
      </c>
      <c r="E154" s="593">
        <v>100</v>
      </c>
      <c r="F154" s="593" t="s">
        <v>2521</v>
      </c>
      <c r="G154" s="642">
        <v>25.9</v>
      </c>
      <c r="H154" s="593"/>
      <c r="I154" s="593">
        <v>0</v>
      </c>
      <c r="J154" s="595"/>
      <c r="K154" s="595"/>
      <c r="L154" s="595">
        <v>65000</v>
      </c>
      <c r="M154" s="596"/>
      <c r="N154" s="643" t="s">
        <v>2875</v>
      </c>
      <c r="O154" s="659"/>
      <c r="P154" s="603"/>
      <c r="Q154" s="603"/>
      <c r="R154" s="603"/>
      <c r="S154" s="603"/>
      <c r="T154" s="603"/>
      <c r="U154" s="603"/>
      <c r="V154" s="603"/>
      <c r="W154" s="603"/>
      <c r="X154" s="603"/>
      <c r="Y154" s="603"/>
      <c r="Z154" s="603"/>
      <c r="AA154" s="603"/>
      <c r="AB154" s="603"/>
      <c r="AC154" s="603"/>
      <c r="AD154" s="603"/>
      <c r="AE154" s="611"/>
      <c r="AF154" s="611"/>
      <c r="AG154" s="611"/>
      <c r="AH154" s="611"/>
      <c r="AI154" s="611"/>
      <c r="AJ154" s="611"/>
      <c r="AK154" s="611"/>
      <c r="AL154" s="611"/>
      <c r="AM154" s="611"/>
      <c r="AN154" s="119"/>
      <c r="AO154" s="119"/>
      <c r="AP154" s="208"/>
      <c r="AQ154" s="119"/>
      <c r="AR154" s="119"/>
      <c r="AS154" s="119"/>
      <c r="AT154" s="119"/>
      <c r="AU154" s="119"/>
      <c r="AV154" s="120"/>
      <c r="AW154" s="120"/>
      <c r="AX154" s="115"/>
      <c r="AY154" s="122"/>
      <c r="AZ154" s="122"/>
      <c r="BA154" s="122"/>
      <c r="BB154" s="122"/>
      <c r="BC154" s="122"/>
      <c r="BD154" s="122"/>
      <c r="BE154" s="122"/>
      <c r="BF154" s="122"/>
      <c r="BG154" s="122"/>
      <c r="BH154" s="122"/>
      <c r="BI154" s="122"/>
    </row>
    <row r="155" spans="1:64" s="657" customFormat="1" ht="30.25" customHeight="1" x14ac:dyDescent="0.25">
      <c r="A155" s="593" t="s">
        <v>2591</v>
      </c>
      <c r="B155" s="593" t="s">
        <v>3512</v>
      </c>
      <c r="C155" s="594" t="str">
        <f t="shared" ref="C155:C158" si="31">CONCATENATE(A155," ",B155)</f>
        <v>PEUGEOT e-TRAVELLER (ALLURE) Standard L2 (50 kWh)</v>
      </c>
      <c r="D155" s="593" t="s">
        <v>2741</v>
      </c>
      <c r="E155" s="593">
        <v>100</v>
      </c>
      <c r="F155" s="593" t="s">
        <v>2521</v>
      </c>
      <c r="G155" s="642">
        <v>23.9</v>
      </c>
      <c r="H155" s="593"/>
      <c r="I155" s="593">
        <v>0</v>
      </c>
      <c r="J155" s="595"/>
      <c r="K155" s="595"/>
      <c r="L155" s="595">
        <v>66250</v>
      </c>
      <c r="M155" s="596"/>
      <c r="N155" s="643" t="s">
        <v>2875</v>
      </c>
      <c r="O155" s="659"/>
      <c r="P155" s="603"/>
      <c r="Q155" s="603"/>
      <c r="R155" s="603"/>
      <c r="S155" s="603"/>
      <c r="T155" s="603"/>
      <c r="U155" s="603"/>
      <c r="V155" s="603"/>
      <c r="W155" s="603"/>
      <c r="X155" s="603"/>
      <c r="Y155" s="603"/>
      <c r="Z155" s="603"/>
      <c r="AA155" s="603"/>
      <c r="AB155" s="603"/>
      <c r="AC155" s="603"/>
      <c r="AD155" s="603"/>
      <c r="AE155" s="611"/>
      <c r="AF155" s="611"/>
      <c r="AG155" s="611"/>
      <c r="AH155" s="611"/>
      <c r="AI155" s="611"/>
      <c r="AJ155" s="611"/>
      <c r="AK155" s="611"/>
      <c r="AL155" s="611"/>
      <c r="AM155" s="611"/>
      <c r="AN155" s="119"/>
      <c r="AO155" s="119"/>
      <c r="AP155" s="208"/>
      <c r="AQ155" s="119"/>
      <c r="AR155" s="119"/>
      <c r="AS155" s="119"/>
      <c r="AT155" s="119"/>
      <c r="AU155" s="119"/>
      <c r="AV155" s="120"/>
      <c r="AW155" s="120"/>
      <c r="AX155" s="115"/>
      <c r="AY155" s="122"/>
      <c r="AZ155" s="122"/>
      <c r="BA155" s="122"/>
      <c r="BB155" s="122"/>
      <c r="BC155" s="122"/>
      <c r="BD155" s="122"/>
      <c r="BE155" s="122"/>
      <c r="BF155" s="122"/>
      <c r="BG155" s="122"/>
      <c r="BH155" s="122"/>
      <c r="BI155" s="122"/>
    </row>
    <row r="156" spans="1:64" s="657" customFormat="1" ht="30.25" customHeight="1" x14ac:dyDescent="0.25">
      <c r="A156" s="593" t="s">
        <v>2591</v>
      </c>
      <c r="B156" s="593" t="s">
        <v>3513</v>
      </c>
      <c r="C156" s="594" t="str">
        <f t="shared" si="31"/>
        <v>PEUGEOT e-TRAVELLER (ALLURE) Standard L2 (75 kWh)</v>
      </c>
      <c r="D156" s="593" t="s">
        <v>2741</v>
      </c>
      <c r="E156" s="593">
        <v>100</v>
      </c>
      <c r="F156" s="593" t="s">
        <v>2521</v>
      </c>
      <c r="G156" s="642">
        <v>25.9</v>
      </c>
      <c r="H156" s="593"/>
      <c r="I156" s="593">
        <v>0</v>
      </c>
      <c r="J156" s="595"/>
      <c r="K156" s="595"/>
      <c r="L156" s="595">
        <v>72250</v>
      </c>
      <c r="M156" s="596"/>
      <c r="N156" s="643" t="s">
        <v>2875</v>
      </c>
      <c r="O156" s="659"/>
      <c r="P156" s="603"/>
      <c r="Q156" s="603"/>
      <c r="R156" s="603"/>
      <c r="S156" s="603"/>
      <c r="T156" s="603"/>
      <c r="U156" s="603"/>
      <c r="V156" s="603"/>
      <c r="W156" s="603"/>
      <c r="X156" s="603"/>
      <c r="Y156" s="603"/>
      <c r="Z156" s="603"/>
      <c r="AA156" s="603"/>
      <c r="AB156" s="603"/>
      <c r="AC156" s="603"/>
      <c r="AD156" s="603"/>
      <c r="AE156" s="611"/>
      <c r="AF156" s="611"/>
      <c r="AG156" s="611"/>
      <c r="AH156" s="611"/>
      <c r="AI156" s="611"/>
      <c r="AJ156" s="611"/>
      <c r="AK156" s="611"/>
      <c r="AL156" s="611"/>
      <c r="AM156" s="611"/>
      <c r="AN156" s="119"/>
      <c r="AO156" s="119"/>
      <c r="AP156" s="208"/>
      <c r="AQ156" s="119"/>
      <c r="AR156" s="119"/>
      <c r="AS156" s="119"/>
      <c r="AT156" s="119"/>
      <c r="AU156" s="119"/>
      <c r="AV156" s="120"/>
      <c r="AW156" s="120"/>
      <c r="AX156" s="115"/>
      <c r="AY156" s="122"/>
      <c r="AZ156" s="122"/>
      <c r="BA156" s="122"/>
      <c r="BB156" s="122"/>
      <c r="BC156" s="122"/>
      <c r="BD156" s="122"/>
      <c r="BE156" s="122"/>
      <c r="BF156" s="122"/>
      <c r="BG156" s="122"/>
      <c r="BH156" s="122"/>
      <c r="BI156" s="122"/>
    </row>
    <row r="157" spans="1:64" s="657" customFormat="1" ht="30.25" customHeight="1" x14ac:dyDescent="0.25">
      <c r="A157" s="593" t="s">
        <v>2591</v>
      </c>
      <c r="B157" s="593" t="s">
        <v>3514</v>
      </c>
      <c r="C157" s="594" t="str">
        <f t="shared" si="31"/>
        <v>PEUGEOT e-TRAVELLER (ALLURE) Lang L3 (50 kWh)</v>
      </c>
      <c r="D157" s="593" t="s">
        <v>2741</v>
      </c>
      <c r="E157" s="593">
        <v>100</v>
      </c>
      <c r="F157" s="593" t="s">
        <v>2521</v>
      </c>
      <c r="G157" s="642">
        <v>25.9</v>
      </c>
      <c r="H157" s="593"/>
      <c r="I157" s="593">
        <v>0</v>
      </c>
      <c r="J157" s="595"/>
      <c r="K157" s="595"/>
      <c r="L157" s="595">
        <v>66750</v>
      </c>
      <c r="M157" s="596"/>
      <c r="N157" s="643" t="s">
        <v>2875</v>
      </c>
      <c r="O157" s="659"/>
      <c r="P157" s="603"/>
      <c r="Q157" s="603"/>
      <c r="R157" s="603"/>
      <c r="S157" s="603"/>
      <c r="T157" s="603"/>
      <c r="U157" s="603"/>
      <c r="V157" s="603"/>
      <c r="W157" s="603"/>
      <c r="X157" s="603"/>
      <c r="Y157" s="603"/>
      <c r="Z157" s="603"/>
      <c r="AA157" s="603"/>
      <c r="AB157" s="603"/>
      <c r="AC157" s="603"/>
      <c r="AD157" s="603"/>
      <c r="AE157" s="611"/>
      <c r="AF157" s="611"/>
      <c r="AG157" s="611"/>
      <c r="AH157" s="611"/>
      <c r="AI157" s="611"/>
      <c r="AJ157" s="611"/>
      <c r="AK157" s="611"/>
      <c r="AL157" s="611"/>
      <c r="AM157" s="611"/>
      <c r="AN157" s="119"/>
      <c r="AO157" s="119"/>
      <c r="AP157" s="208"/>
      <c r="AQ157" s="119"/>
      <c r="AR157" s="119"/>
      <c r="AS157" s="119"/>
      <c r="AT157" s="119"/>
      <c r="AU157" s="119"/>
      <c r="AV157" s="120"/>
      <c r="AW157" s="120"/>
      <c r="AX157" s="115"/>
      <c r="AY157" s="122"/>
      <c r="AZ157" s="122"/>
      <c r="BA157" s="122"/>
      <c r="BB157" s="122"/>
      <c r="BC157" s="122"/>
      <c r="BD157" s="122"/>
      <c r="BE157" s="122"/>
      <c r="BF157" s="122"/>
      <c r="BG157" s="122"/>
      <c r="BH157" s="122"/>
      <c r="BI157" s="122"/>
    </row>
    <row r="158" spans="1:64" s="657" customFormat="1" ht="30.25" customHeight="1" x14ac:dyDescent="0.25">
      <c r="A158" s="593" t="s">
        <v>2591</v>
      </c>
      <c r="B158" s="593" t="s">
        <v>3515</v>
      </c>
      <c r="C158" s="594" t="str">
        <f t="shared" si="31"/>
        <v>PEUGEOT e-TRAVELLER (ALLURE) Lang L3 (75 kWh)</v>
      </c>
      <c r="D158" s="593" t="s">
        <v>2741</v>
      </c>
      <c r="E158" s="593">
        <v>100</v>
      </c>
      <c r="F158" s="593" t="s">
        <v>2521</v>
      </c>
      <c r="G158" s="642">
        <v>25.9</v>
      </c>
      <c r="H158" s="593"/>
      <c r="I158" s="593">
        <v>0</v>
      </c>
      <c r="J158" s="595"/>
      <c r="K158" s="595"/>
      <c r="L158" s="595">
        <v>72750</v>
      </c>
      <c r="M158" s="596"/>
      <c r="N158" s="643" t="s">
        <v>2875</v>
      </c>
      <c r="O158" s="659"/>
      <c r="P158" s="603"/>
      <c r="Q158" s="603"/>
      <c r="R158" s="603"/>
      <c r="S158" s="603"/>
      <c r="T158" s="603"/>
      <c r="U158" s="603"/>
      <c r="V158" s="603"/>
      <c r="W158" s="603"/>
      <c r="X158" s="603"/>
      <c r="Y158" s="603"/>
      <c r="Z158" s="603"/>
      <c r="AA158" s="603"/>
      <c r="AB158" s="603"/>
      <c r="AC158" s="603"/>
      <c r="AD158" s="603"/>
      <c r="AE158" s="611"/>
      <c r="AF158" s="611"/>
      <c r="AG158" s="611"/>
      <c r="AH158" s="611"/>
      <c r="AI158" s="611"/>
      <c r="AJ158" s="611"/>
      <c r="AK158" s="611"/>
      <c r="AL158" s="611"/>
      <c r="AM158" s="611"/>
      <c r="AN158" s="119"/>
      <c r="AO158" s="119"/>
      <c r="AP158" s="208"/>
      <c r="AQ158" s="119"/>
      <c r="AR158" s="119"/>
      <c r="AS158" s="119"/>
      <c r="AT158" s="119"/>
      <c r="AU158" s="119"/>
      <c r="AV158" s="120"/>
      <c r="AW158" s="120"/>
      <c r="AX158" s="115"/>
      <c r="AY158" s="122"/>
      <c r="AZ158" s="122"/>
      <c r="BA158" s="122"/>
      <c r="BB158" s="122"/>
      <c r="BC158" s="122"/>
      <c r="BD158" s="122"/>
      <c r="BE158" s="122"/>
      <c r="BF158" s="122"/>
      <c r="BG158" s="122"/>
      <c r="BH158" s="122"/>
      <c r="BI158" s="122"/>
    </row>
    <row r="159" spans="1:64" s="657" customFormat="1" ht="30.25" customHeight="1" x14ac:dyDescent="0.25">
      <c r="A159" s="593" t="s">
        <v>2591</v>
      </c>
      <c r="B159" s="593" t="s">
        <v>3516</v>
      </c>
      <c r="C159" s="594" t="str">
        <f t="shared" ref="C159:C161" si="32">CONCATENATE(A159," ",B159)</f>
        <v>PEUGEOT e-TRAVELLER (BUSINESS) Standard L2 (50 kWh)</v>
      </c>
      <c r="D159" s="593" t="s">
        <v>2741</v>
      </c>
      <c r="E159" s="593">
        <v>100</v>
      </c>
      <c r="F159" s="593" t="s">
        <v>2521</v>
      </c>
      <c r="G159" s="642">
        <v>23.9</v>
      </c>
      <c r="H159" s="593"/>
      <c r="I159" s="593">
        <v>0</v>
      </c>
      <c r="J159" s="595"/>
      <c r="K159" s="595"/>
      <c r="L159" s="595">
        <v>57400</v>
      </c>
      <c r="M159" s="596"/>
      <c r="N159" s="643" t="s">
        <v>2875</v>
      </c>
      <c r="O159" s="659"/>
      <c r="P159" s="603"/>
      <c r="Q159" s="603"/>
      <c r="R159" s="603"/>
      <c r="S159" s="603"/>
      <c r="T159" s="603"/>
      <c r="U159" s="603"/>
      <c r="V159" s="603"/>
      <c r="W159" s="603"/>
      <c r="X159" s="603"/>
      <c r="Y159" s="603"/>
      <c r="Z159" s="603"/>
      <c r="AA159" s="603"/>
      <c r="AB159" s="603"/>
      <c r="AC159" s="603"/>
      <c r="AD159" s="603"/>
      <c r="AE159" s="611"/>
      <c r="AF159" s="611"/>
      <c r="AG159" s="611"/>
      <c r="AH159" s="611"/>
      <c r="AI159" s="611"/>
      <c r="AJ159" s="611"/>
      <c r="AK159" s="611"/>
      <c r="AL159" s="611"/>
      <c r="AM159" s="611"/>
      <c r="AN159" s="119"/>
      <c r="AO159" s="119"/>
      <c r="AP159" s="208"/>
      <c r="AQ159" s="119"/>
      <c r="AR159" s="119"/>
      <c r="AS159" s="119"/>
      <c r="AT159" s="119"/>
      <c r="AU159" s="119"/>
      <c r="AV159" s="120"/>
      <c r="AW159" s="120"/>
      <c r="AX159" s="115"/>
      <c r="AY159" s="122"/>
      <c r="AZ159" s="122"/>
      <c r="BA159" s="122"/>
      <c r="BB159" s="122"/>
      <c r="BC159" s="122"/>
      <c r="BD159" s="122"/>
      <c r="BE159" s="122"/>
      <c r="BF159" s="122"/>
      <c r="BG159" s="122"/>
      <c r="BH159" s="122"/>
      <c r="BI159" s="122"/>
    </row>
    <row r="160" spans="1:64" s="657" customFormat="1" ht="30.25" customHeight="1" x14ac:dyDescent="0.25">
      <c r="A160" s="593" t="s">
        <v>2591</v>
      </c>
      <c r="B160" s="593" t="s">
        <v>3517</v>
      </c>
      <c r="C160" s="594" t="str">
        <f t="shared" si="32"/>
        <v>PEUGEOT e-TRAVELLER (BUSINESS) Standard L2 (75 kWh)</v>
      </c>
      <c r="D160" s="593" t="s">
        <v>2741</v>
      </c>
      <c r="E160" s="593">
        <v>100</v>
      </c>
      <c r="F160" s="593" t="s">
        <v>2521</v>
      </c>
      <c r="G160" s="642">
        <v>25.9</v>
      </c>
      <c r="H160" s="593"/>
      <c r="I160" s="593">
        <v>0</v>
      </c>
      <c r="J160" s="595"/>
      <c r="K160" s="595"/>
      <c r="L160" s="595">
        <v>63400</v>
      </c>
      <c r="M160" s="596"/>
      <c r="N160" s="643" t="s">
        <v>2875</v>
      </c>
      <c r="O160" s="659"/>
      <c r="P160" s="603"/>
      <c r="Q160" s="603"/>
      <c r="R160" s="603"/>
      <c r="S160" s="603"/>
      <c r="T160" s="603"/>
      <c r="U160" s="603"/>
      <c r="V160" s="603"/>
      <c r="W160" s="603"/>
      <c r="X160" s="603"/>
      <c r="Y160" s="603"/>
      <c r="Z160" s="603"/>
      <c r="AA160" s="603"/>
      <c r="AB160" s="603"/>
      <c r="AC160" s="603"/>
      <c r="AD160" s="603"/>
      <c r="AE160" s="611"/>
      <c r="AF160" s="611"/>
      <c r="AG160" s="611"/>
      <c r="AH160" s="611"/>
      <c r="AI160" s="611"/>
      <c r="AJ160" s="611"/>
      <c r="AK160" s="611"/>
      <c r="AL160" s="611"/>
      <c r="AM160" s="611"/>
      <c r="AN160" s="119"/>
      <c r="AO160" s="119"/>
      <c r="AP160" s="208"/>
      <c r="AQ160" s="119"/>
      <c r="AR160" s="119"/>
      <c r="AS160" s="119"/>
      <c r="AT160" s="119"/>
      <c r="AU160" s="119"/>
      <c r="AV160" s="120"/>
      <c r="AW160" s="120"/>
      <c r="AX160" s="115"/>
      <c r="AY160" s="122"/>
      <c r="AZ160" s="122"/>
      <c r="BA160" s="122"/>
      <c r="BB160" s="122"/>
      <c r="BC160" s="122"/>
      <c r="BD160" s="122"/>
      <c r="BE160" s="122"/>
      <c r="BF160" s="122"/>
      <c r="BG160" s="122"/>
      <c r="BH160" s="122"/>
      <c r="BI160" s="122"/>
    </row>
    <row r="161" spans="1:64" s="657" customFormat="1" ht="30.25" customHeight="1" x14ac:dyDescent="0.25">
      <c r="A161" s="593" t="s">
        <v>2591</v>
      </c>
      <c r="B161" s="593" t="s">
        <v>3518</v>
      </c>
      <c r="C161" s="594" t="str">
        <f t="shared" si="32"/>
        <v>PEUGEOT e-TRAVELLER (BUSINESS) Lang L3 (75 kWh)</v>
      </c>
      <c r="D161" s="593" t="s">
        <v>2741</v>
      </c>
      <c r="E161" s="593">
        <v>100</v>
      </c>
      <c r="F161" s="593" t="s">
        <v>2521</v>
      </c>
      <c r="G161" s="642">
        <v>25.9</v>
      </c>
      <c r="H161" s="593"/>
      <c r="I161" s="593">
        <v>0</v>
      </c>
      <c r="J161" s="595"/>
      <c r="K161" s="595"/>
      <c r="L161" s="595">
        <v>63900</v>
      </c>
      <c r="M161" s="596"/>
      <c r="N161" s="643" t="s">
        <v>2875</v>
      </c>
      <c r="O161" s="659"/>
      <c r="P161" s="603"/>
      <c r="Q161" s="603"/>
      <c r="R161" s="603"/>
      <c r="S161" s="603"/>
      <c r="T161" s="603"/>
      <c r="U161" s="603"/>
      <c r="V161" s="603"/>
      <c r="W161" s="603"/>
      <c r="X161" s="603"/>
      <c r="Y161" s="603"/>
      <c r="Z161" s="603"/>
      <c r="AA161" s="603"/>
      <c r="AB161" s="603"/>
      <c r="AC161" s="603"/>
      <c r="AD161" s="603"/>
      <c r="AE161" s="611"/>
      <c r="AF161" s="611"/>
      <c r="AG161" s="611"/>
      <c r="AH161" s="611"/>
      <c r="AI161" s="611"/>
      <c r="AJ161" s="611"/>
      <c r="AK161" s="611"/>
      <c r="AL161" s="611"/>
      <c r="AM161" s="611"/>
      <c r="AN161" s="119"/>
      <c r="AO161" s="119"/>
      <c r="AP161" s="208"/>
      <c r="AQ161" s="119"/>
      <c r="AR161" s="119"/>
      <c r="AS161" s="119"/>
      <c r="AT161" s="119"/>
      <c r="AU161" s="119"/>
      <c r="AV161" s="120"/>
      <c r="AW161" s="120"/>
      <c r="AX161" s="115"/>
      <c r="AY161" s="122"/>
      <c r="AZ161" s="122"/>
      <c r="BA161" s="122"/>
      <c r="BB161" s="122"/>
      <c r="BC161" s="122"/>
      <c r="BD161" s="122"/>
      <c r="BE161" s="122"/>
      <c r="BF161" s="122"/>
      <c r="BG161" s="122"/>
      <c r="BH161" s="122"/>
      <c r="BI161" s="122"/>
    </row>
    <row r="162" spans="1:64" s="657" customFormat="1" ht="30.25" customHeight="1" x14ac:dyDescent="0.25">
      <c r="A162" s="593" t="s">
        <v>2591</v>
      </c>
      <c r="B162" s="593" t="s">
        <v>3519</v>
      </c>
      <c r="C162" s="594" t="str">
        <f t="shared" ref="C162:C164" si="33">CONCATENATE(A162," ",B162)</f>
        <v>PEUGEOT e-TRAVELLER (BUSINESS VIP) Standard L2 (75 kWh)</v>
      </c>
      <c r="D162" s="593" t="s">
        <v>2741</v>
      </c>
      <c r="E162" s="593">
        <v>100</v>
      </c>
      <c r="F162" s="593" t="s">
        <v>2521</v>
      </c>
      <c r="G162" s="642">
        <v>25.9</v>
      </c>
      <c r="H162" s="593"/>
      <c r="I162" s="593">
        <v>0</v>
      </c>
      <c r="J162" s="595"/>
      <c r="K162" s="595"/>
      <c r="L162" s="595">
        <v>71450</v>
      </c>
      <c r="M162" s="596"/>
      <c r="N162" s="643" t="s">
        <v>2875</v>
      </c>
      <c r="O162" s="659"/>
      <c r="P162" s="603"/>
      <c r="Q162" s="603"/>
      <c r="R162" s="603"/>
      <c r="S162" s="603"/>
      <c r="T162" s="603"/>
      <c r="U162" s="603"/>
      <c r="V162" s="603"/>
      <c r="W162" s="603"/>
      <c r="X162" s="603"/>
      <c r="Y162" s="603"/>
      <c r="Z162" s="603"/>
      <c r="AA162" s="603"/>
      <c r="AB162" s="603"/>
      <c r="AC162" s="603"/>
      <c r="AD162" s="603"/>
      <c r="AE162" s="611"/>
      <c r="AF162" s="611"/>
      <c r="AG162" s="611"/>
      <c r="AH162" s="611"/>
      <c r="AI162" s="611"/>
      <c r="AJ162" s="611"/>
      <c r="AK162" s="611"/>
      <c r="AL162" s="611"/>
      <c r="AM162" s="611"/>
      <c r="AN162" s="119"/>
      <c r="AO162" s="119"/>
      <c r="AP162" s="208"/>
      <c r="AQ162" s="119"/>
      <c r="AR162" s="119"/>
      <c r="AS162" s="119"/>
      <c r="AT162" s="119"/>
      <c r="AU162" s="119"/>
      <c r="AV162" s="120"/>
      <c r="AW162" s="120"/>
      <c r="AX162" s="115"/>
      <c r="AY162" s="122"/>
      <c r="AZ162" s="122"/>
      <c r="BA162" s="122"/>
      <c r="BB162" s="122"/>
      <c r="BC162" s="122"/>
      <c r="BD162" s="122"/>
      <c r="BE162" s="122"/>
      <c r="BF162" s="122"/>
      <c r="BG162" s="122"/>
      <c r="BH162" s="122"/>
      <c r="BI162" s="122"/>
    </row>
    <row r="163" spans="1:64" s="657" customFormat="1" ht="30.25" customHeight="1" x14ac:dyDescent="0.25">
      <c r="A163" s="593" t="s">
        <v>2591</v>
      </c>
      <c r="B163" s="593" t="s">
        <v>3520</v>
      </c>
      <c r="C163" s="594" t="str">
        <f t="shared" si="33"/>
        <v>PEUGEOT e-TRAVELLER (BUSINESS VIP) Lang L3 (75 kWh)</v>
      </c>
      <c r="D163" s="593" t="s">
        <v>2741</v>
      </c>
      <c r="E163" s="593">
        <v>100</v>
      </c>
      <c r="F163" s="593" t="s">
        <v>2521</v>
      </c>
      <c r="G163" s="642">
        <v>25.9</v>
      </c>
      <c r="H163" s="593"/>
      <c r="I163" s="593">
        <v>0</v>
      </c>
      <c r="J163" s="595"/>
      <c r="K163" s="595"/>
      <c r="L163" s="595">
        <v>71950</v>
      </c>
      <c r="M163" s="596"/>
      <c r="N163" s="643" t="s">
        <v>2875</v>
      </c>
      <c r="O163" s="659"/>
      <c r="P163" s="603"/>
      <c r="Q163" s="603"/>
      <c r="R163" s="603"/>
      <c r="S163" s="603"/>
      <c r="T163" s="603"/>
      <c r="U163" s="603"/>
      <c r="V163" s="603"/>
      <c r="W163" s="603"/>
      <c r="X163" s="603"/>
      <c r="Y163" s="603"/>
      <c r="Z163" s="603"/>
      <c r="AA163" s="603"/>
      <c r="AB163" s="603"/>
      <c r="AC163" s="603"/>
      <c r="AD163" s="603"/>
      <c r="AE163" s="611"/>
      <c r="AF163" s="611"/>
      <c r="AG163" s="611"/>
      <c r="AH163" s="611"/>
      <c r="AI163" s="611"/>
      <c r="AJ163" s="611"/>
      <c r="AK163" s="611"/>
      <c r="AL163" s="611"/>
      <c r="AM163" s="611"/>
      <c r="AN163" s="119"/>
      <c r="AO163" s="119"/>
      <c r="AP163" s="208"/>
      <c r="AQ163" s="119"/>
      <c r="AR163" s="119"/>
      <c r="AS163" s="119"/>
      <c r="AT163" s="119"/>
      <c r="AU163" s="119"/>
      <c r="AV163" s="120"/>
      <c r="AW163" s="120"/>
      <c r="AX163" s="115"/>
      <c r="AY163" s="122"/>
      <c r="AZ163" s="122"/>
      <c r="BA163" s="122"/>
      <c r="BB163" s="122"/>
      <c r="BC163" s="122"/>
      <c r="BD163" s="122"/>
      <c r="BE163" s="122"/>
      <c r="BF163" s="122"/>
      <c r="BG163" s="122"/>
      <c r="BH163" s="122"/>
      <c r="BI163" s="122"/>
    </row>
    <row r="164" spans="1:64" s="657" customFormat="1" ht="30.25" customHeight="1" x14ac:dyDescent="0.25">
      <c r="A164" s="593" t="s">
        <v>3332</v>
      </c>
      <c r="B164" s="593" t="s">
        <v>3521</v>
      </c>
      <c r="C164" s="594" t="str">
        <f t="shared" si="33"/>
        <v xml:space="preserve">PORSCHE Taycan </v>
      </c>
      <c r="D164" s="593" t="s">
        <v>2741</v>
      </c>
      <c r="E164" s="593">
        <v>280</v>
      </c>
      <c r="F164" s="593" t="s">
        <v>2521</v>
      </c>
      <c r="G164" s="642">
        <v>28.7</v>
      </c>
      <c r="H164" s="593"/>
      <c r="I164" s="593">
        <v>0</v>
      </c>
      <c r="J164" s="595"/>
      <c r="K164" s="595"/>
      <c r="L164" s="595">
        <v>86868</v>
      </c>
      <c r="M164" s="596"/>
      <c r="N164" s="643" t="s">
        <v>2875</v>
      </c>
      <c r="O164" s="659"/>
      <c r="P164" s="603"/>
      <c r="Q164" s="603"/>
      <c r="R164" s="603"/>
      <c r="S164" s="603"/>
      <c r="T164" s="603"/>
      <c r="U164" s="603"/>
      <c r="V164" s="603"/>
      <c r="W164" s="603"/>
      <c r="X164" s="603"/>
      <c r="Y164" s="603"/>
      <c r="Z164" s="603"/>
      <c r="AA164" s="603"/>
      <c r="AB164" s="603"/>
      <c r="AC164" s="603"/>
      <c r="AD164" s="603"/>
      <c r="AE164" s="611"/>
      <c r="AF164" s="611"/>
      <c r="AG164" s="611"/>
      <c r="AH164" s="611"/>
      <c r="AI164" s="611"/>
      <c r="AJ164" s="611"/>
      <c r="AK164" s="611"/>
      <c r="AL164" s="611"/>
      <c r="AM164" s="611"/>
      <c r="AN164" s="119"/>
      <c r="AO164" s="119"/>
      <c r="AP164" s="208"/>
      <c r="AQ164" s="119"/>
      <c r="AR164" s="119"/>
      <c r="AS164" s="119"/>
      <c r="AT164" s="119"/>
      <c r="AU164" s="119"/>
      <c r="AV164" s="120"/>
      <c r="AW164" s="120"/>
      <c r="AX164" s="115"/>
      <c r="AY164" s="122"/>
      <c r="AZ164" s="122"/>
      <c r="BA164" s="122"/>
      <c r="BB164" s="122"/>
      <c r="BC164" s="122"/>
      <c r="BD164" s="122"/>
      <c r="BE164" s="122"/>
      <c r="BF164" s="122"/>
      <c r="BG164" s="122"/>
      <c r="BH164" s="122"/>
      <c r="BI164" s="122"/>
    </row>
    <row r="165" spans="1:64" ht="30.25" customHeight="1" x14ac:dyDescent="0.25">
      <c r="A165" s="593" t="s">
        <v>3332</v>
      </c>
      <c r="B165" s="593" t="s">
        <v>3388</v>
      </c>
      <c r="C165" s="594" t="str">
        <f t="shared" si="17"/>
        <v>PORSCHE Taycan 4S</v>
      </c>
      <c r="D165" s="593" t="s">
        <v>2741</v>
      </c>
      <c r="E165" s="593">
        <v>360</v>
      </c>
      <c r="F165" s="593" t="s">
        <v>2521</v>
      </c>
      <c r="G165" s="642">
        <v>23.4</v>
      </c>
      <c r="H165" s="593"/>
      <c r="I165" s="593">
        <v>0</v>
      </c>
      <c r="J165" s="595"/>
      <c r="K165" s="595"/>
      <c r="L165" s="595">
        <v>110034</v>
      </c>
      <c r="M165" s="596"/>
      <c r="N165" s="643" t="s">
        <v>2875</v>
      </c>
      <c r="O165" s="576"/>
      <c r="P165" s="603"/>
      <c r="Q165" s="603"/>
      <c r="R165" s="603"/>
      <c r="S165" s="603"/>
      <c r="T165" s="603"/>
      <c r="U165" s="603"/>
      <c r="V165" s="603"/>
      <c r="W165" s="603"/>
      <c r="X165" s="603"/>
      <c r="Y165" s="603"/>
      <c r="Z165" s="603"/>
      <c r="AA165" s="603"/>
      <c r="AB165" s="603"/>
      <c r="AC165" s="603"/>
      <c r="AD165" s="603"/>
      <c r="AE165" s="611"/>
      <c r="AF165" s="611"/>
      <c r="AG165" s="611"/>
      <c r="AH165" s="611"/>
      <c r="AI165" s="611"/>
      <c r="AJ165" s="611"/>
      <c r="AK165" s="611"/>
      <c r="AL165" s="611"/>
      <c r="AM165" s="611"/>
      <c r="AN165" s="119"/>
      <c r="AO165" s="119"/>
      <c r="AP165" s="208"/>
      <c r="AQ165" s="119"/>
      <c r="AR165" s="119"/>
      <c r="AS165" s="119"/>
      <c r="AT165" s="119"/>
      <c r="AU165" s="119"/>
      <c r="AV165" s="120"/>
      <c r="AW165" s="120"/>
      <c r="AX165" s="115"/>
      <c r="BJ165" s="211"/>
      <c r="BK165" s="211"/>
      <c r="BL165" s="211"/>
    </row>
    <row r="166" spans="1:64" ht="30.25" customHeight="1" x14ac:dyDescent="0.25">
      <c r="A166" s="593" t="s">
        <v>3332</v>
      </c>
      <c r="B166" s="593" t="s">
        <v>3364</v>
      </c>
      <c r="C166" s="594" t="str">
        <f t="shared" si="17"/>
        <v>PORSCHE Taycan Turbo</v>
      </c>
      <c r="D166" s="593" t="s">
        <v>2741</v>
      </c>
      <c r="E166" s="593">
        <v>500</v>
      </c>
      <c r="F166" s="593" t="s">
        <v>2521</v>
      </c>
      <c r="G166" s="642">
        <v>24.9</v>
      </c>
      <c r="H166" s="593"/>
      <c r="I166" s="593">
        <v>0</v>
      </c>
      <c r="J166" s="595"/>
      <c r="K166" s="595"/>
      <c r="L166" s="595">
        <v>157050</v>
      </c>
      <c r="M166" s="596"/>
      <c r="N166" s="643" t="s">
        <v>2875</v>
      </c>
      <c r="O166" s="576"/>
      <c r="P166" s="603"/>
      <c r="Q166" s="603"/>
      <c r="R166" s="603"/>
      <c r="S166" s="603"/>
      <c r="T166" s="603"/>
      <c r="U166" s="603"/>
      <c r="V166" s="603"/>
      <c r="W166" s="603"/>
      <c r="X166" s="603"/>
      <c r="Y166" s="603"/>
      <c r="Z166" s="603"/>
      <c r="AA166" s="603"/>
      <c r="AB166" s="603"/>
      <c r="AC166" s="603"/>
      <c r="AD166" s="603"/>
      <c r="AE166" s="611"/>
      <c r="AF166" s="611"/>
      <c r="AG166" s="611"/>
      <c r="AH166" s="611"/>
      <c r="AI166" s="611"/>
      <c r="AJ166" s="611"/>
      <c r="AK166" s="611"/>
      <c r="AL166" s="611"/>
      <c r="AM166" s="611"/>
      <c r="AN166" s="119"/>
      <c r="AO166" s="119"/>
      <c r="AP166" s="208"/>
      <c r="AQ166" s="119"/>
      <c r="AR166" s="119"/>
      <c r="AS166" s="119"/>
      <c r="AT166" s="119"/>
      <c r="AU166" s="119"/>
      <c r="AV166" s="120"/>
      <c r="AW166" s="120"/>
      <c r="AX166" s="115"/>
      <c r="BJ166" s="211"/>
      <c r="BK166" s="211"/>
      <c r="BL166" s="211"/>
    </row>
    <row r="167" spans="1:64" ht="30.25" customHeight="1" x14ac:dyDescent="0.25">
      <c r="A167" s="593" t="s">
        <v>3332</v>
      </c>
      <c r="B167" s="593" t="s">
        <v>3365</v>
      </c>
      <c r="C167" s="594" t="str">
        <f t="shared" si="17"/>
        <v>PORSCHE Taycan Turbo S</v>
      </c>
      <c r="D167" s="593" t="s">
        <v>2741</v>
      </c>
      <c r="E167" s="593">
        <v>560</v>
      </c>
      <c r="F167" s="593" t="s">
        <v>2521</v>
      </c>
      <c r="G167" s="642">
        <v>25.1</v>
      </c>
      <c r="H167" s="593"/>
      <c r="I167" s="593">
        <v>0</v>
      </c>
      <c r="J167" s="595"/>
      <c r="K167" s="595"/>
      <c r="L167" s="595">
        <v>190571</v>
      </c>
      <c r="M167" s="596"/>
      <c r="N167" s="643" t="s">
        <v>2875</v>
      </c>
      <c r="O167" s="576"/>
      <c r="P167" s="603"/>
      <c r="Q167" s="603"/>
      <c r="R167" s="603"/>
      <c r="S167" s="603"/>
      <c r="T167" s="603"/>
      <c r="U167" s="603"/>
      <c r="V167" s="603"/>
      <c r="W167" s="603"/>
      <c r="X167" s="603"/>
      <c r="Y167" s="603"/>
      <c r="Z167" s="603"/>
      <c r="AA167" s="603"/>
      <c r="AB167" s="603"/>
      <c r="AC167" s="603"/>
      <c r="AD167" s="603"/>
      <c r="AE167" s="664"/>
      <c r="AF167" s="611"/>
      <c r="AG167" s="611"/>
      <c r="AH167" s="611"/>
      <c r="AI167" s="611"/>
      <c r="AJ167" s="611"/>
      <c r="AK167" s="611"/>
      <c r="AL167" s="611"/>
      <c r="AM167" s="611"/>
      <c r="AN167" s="208" t="e">
        <f>VLOOKUP(AO167,AP167:AV171,IF(AV184+1&lt;=1,6,AV184+1),TRUE)</f>
        <v>#REF!</v>
      </c>
      <c r="AO167" s="119">
        <f>IF(Eingabe!$G$14&lt;='Daten-Elektrofahrzeug'!AP168,'Daten-Elektrofahrzeug'!AP168,IF(Eingabe!$G$14&lt;=AP170,AP170,AP171))</f>
        <v>36</v>
      </c>
      <c r="AP167" s="666" t="s">
        <v>2528</v>
      </c>
      <c r="AQ167" s="667">
        <v>7500</v>
      </c>
      <c r="AR167" s="667">
        <v>10000</v>
      </c>
      <c r="AS167" s="667">
        <v>12500</v>
      </c>
      <c r="AT167" s="667">
        <v>15000</v>
      </c>
      <c r="AU167" s="667">
        <v>17500</v>
      </c>
      <c r="AV167" s="667">
        <v>20000</v>
      </c>
      <c r="AW167" s="120"/>
      <c r="BJ167" s="211"/>
      <c r="BK167" s="211"/>
      <c r="BL167" s="211"/>
    </row>
    <row r="168" spans="1:64" ht="30.25" customHeight="1" x14ac:dyDescent="0.25">
      <c r="A168" s="593" t="s">
        <v>2594</v>
      </c>
      <c r="B168" s="593" t="s">
        <v>3522</v>
      </c>
      <c r="C168" s="594" t="str">
        <f t="shared" si="17"/>
        <v>RENAULT ZOE LIFE R110 Z.E. 40</v>
      </c>
      <c r="D168" s="593" t="s">
        <v>2741</v>
      </c>
      <c r="E168" s="593">
        <v>80</v>
      </c>
      <c r="F168" s="593" t="s">
        <v>2521</v>
      </c>
      <c r="G168" s="642">
        <v>17.600000000000001</v>
      </c>
      <c r="H168" s="593"/>
      <c r="I168" s="593">
        <v>0</v>
      </c>
      <c r="J168" s="595"/>
      <c r="K168" s="595"/>
      <c r="L168" s="595">
        <v>30890</v>
      </c>
      <c r="M168" s="596"/>
      <c r="N168" s="643" t="s">
        <v>2875</v>
      </c>
      <c r="O168" s="576"/>
      <c r="P168" s="603"/>
      <c r="Q168" s="603"/>
      <c r="R168" s="601"/>
      <c r="S168" s="601"/>
      <c r="T168" s="601"/>
      <c r="U168" s="601"/>
      <c r="V168" s="601"/>
      <c r="W168" s="601"/>
      <c r="X168" s="601"/>
      <c r="Y168" s="601"/>
      <c r="Z168" s="601"/>
      <c r="AA168" s="601"/>
      <c r="AB168" s="601"/>
      <c r="AC168" s="601"/>
      <c r="AD168" s="601"/>
      <c r="AE168" s="668"/>
      <c r="AF168" s="611"/>
      <c r="AG168" s="664"/>
      <c r="AH168" s="611"/>
      <c r="AI168" s="611"/>
      <c r="AJ168" s="611"/>
      <c r="AK168" s="611"/>
      <c r="AL168" s="611"/>
      <c r="AM168" s="611"/>
      <c r="AN168" s="119"/>
      <c r="AO168" s="119"/>
      <c r="AP168" s="667">
        <v>12</v>
      </c>
      <c r="AQ168" s="669">
        <v>58</v>
      </c>
      <c r="AR168" s="669">
        <v>66</v>
      </c>
      <c r="AS168" s="669">
        <v>74</v>
      </c>
      <c r="AT168" s="669">
        <v>82</v>
      </c>
      <c r="AU168" s="669">
        <v>90</v>
      </c>
      <c r="AV168" s="669">
        <v>98</v>
      </c>
      <c r="AW168" s="120"/>
      <c r="BJ168" s="211"/>
      <c r="BK168" s="211"/>
      <c r="BL168" s="211"/>
    </row>
    <row r="169" spans="1:64" s="657" customFormat="1" ht="30.25" customHeight="1" x14ac:dyDescent="0.25">
      <c r="A169" s="593" t="s">
        <v>2594</v>
      </c>
      <c r="B169" s="593" t="s">
        <v>3523</v>
      </c>
      <c r="C169" s="594" t="str">
        <f t="shared" ref="C169" si="34">CONCATENATE(A169," ",B169)</f>
        <v>RENAULT ZOE LIFE R110 Z.E. 50</v>
      </c>
      <c r="D169" s="593" t="s">
        <v>2741</v>
      </c>
      <c r="E169" s="593">
        <v>80</v>
      </c>
      <c r="F169" s="593" t="s">
        <v>2521</v>
      </c>
      <c r="G169" s="642">
        <v>17.600000000000001</v>
      </c>
      <c r="H169" s="593"/>
      <c r="I169" s="593">
        <v>0</v>
      </c>
      <c r="J169" s="595"/>
      <c r="K169" s="595"/>
      <c r="L169" s="595">
        <v>33390</v>
      </c>
      <c r="M169" s="596"/>
      <c r="N169" s="643" t="s">
        <v>2875</v>
      </c>
      <c r="O169" s="659"/>
      <c r="P169" s="603"/>
      <c r="Q169" s="603"/>
      <c r="R169" s="601"/>
      <c r="S169" s="601"/>
      <c r="T169" s="601"/>
      <c r="U169" s="601"/>
      <c r="V169" s="601"/>
      <c r="W169" s="601"/>
      <c r="X169" s="601"/>
      <c r="Y169" s="601"/>
      <c r="Z169" s="601"/>
      <c r="AA169" s="601"/>
      <c r="AB169" s="601"/>
      <c r="AC169" s="601"/>
      <c r="AD169" s="601"/>
      <c r="AE169" s="668"/>
      <c r="AF169" s="611"/>
      <c r="AG169" s="664"/>
      <c r="AH169" s="611"/>
      <c r="AI169" s="611"/>
      <c r="AJ169" s="611"/>
      <c r="AK169" s="611"/>
      <c r="AL169" s="611"/>
      <c r="AM169" s="611"/>
      <c r="AN169" s="119"/>
      <c r="AO169" s="119"/>
      <c r="AP169" s="667">
        <v>12</v>
      </c>
      <c r="AQ169" s="669">
        <v>58</v>
      </c>
      <c r="AR169" s="669">
        <v>66</v>
      </c>
      <c r="AS169" s="669">
        <v>74</v>
      </c>
      <c r="AT169" s="669">
        <v>82</v>
      </c>
      <c r="AU169" s="669">
        <v>90</v>
      </c>
      <c r="AV169" s="669">
        <v>98</v>
      </c>
      <c r="AW169" s="120"/>
      <c r="AX169" s="122"/>
      <c r="AY169" s="122"/>
      <c r="AZ169" s="122"/>
      <c r="BA169" s="122"/>
      <c r="BB169" s="122"/>
      <c r="BC169" s="122"/>
      <c r="BD169" s="122"/>
      <c r="BE169" s="122"/>
      <c r="BF169" s="122"/>
      <c r="BG169" s="122"/>
      <c r="BH169" s="122"/>
      <c r="BI169" s="122"/>
    </row>
    <row r="170" spans="1:64" ht="30.25" customHeight="1" x14ac:dyDescent="0.25">
      <c r="A170" s="593" t="s">
        <v>2594</v>
      </c>
      <c r="B170" s="593" t="s">
        <v>3352</v>
      </c>
      <c r="C170" s="594" t="str">
        <f t="shared" si="17"/>
        <v>RENAULT ZOE ZEN R110</v>
      </c>
      <c r="D170" s="593" t="s">
        <v>2741</v>
      </c>
      <c r="E170" s="593">
        <v>80</v>
      </c>
      <c r="F170" s="593" t="s">
        <v>2521</v>
      </c>
      <c r="G170" s="642">
        <v>17.600000000000001</v>
      </c>
      <c r="H170" s="593"/>
      <c r="I170" s="593">
        <v>0</v>
      </c>
      <c r="J170" s="595"/>
      <c r="K170" s="595"/>
      <c r="L170" s="595">
        <v>34290</v>
      </c>
      <c r="M170" s="596"/>
      <c r="N170" s="643" t="s">
        <v>2875</v>
      </c>
      <c r="O170" s="576"/>
      <c r="P170" s="603"/>
      <c r="Q170" s="603"/>
      <c r="R170" s="603"/>
      <c r="S170" s="603"/>
      <c r="T170" s="603"/>
      <c r="U170" s="603"/>
      <c r="V170" s="603"/>
      <c r="W170" s="603"/>
      <c r="X170" s="603"/>
      <c r="Y170" s="603"/>
      <c r="Z170" s="603"/>
      <c r="AA170" s="603"/>
      <c r="AB170" s="603"/>
      <c r="AC170" s="603"/>
      <c r="AD170" s="603"/>
      <c r="AE170" s="670"/>
      <c r="AF170" s="611"/>
      <c r="AG170" s="611"/>
      <c r="AH170" s="611"/>
      <c r="AI170" s="611"/>
      <c r="AJ170" s="611"/>
      <c r="AK170" s="611"/>
      <c r="AL170" s="611"/>
      <c r="AM170" s="611"/>
      <c r="AN170" s="119"/>
      <c r="AO170" s="119"/>
      <c r="AP170" s="667">
        <v>24</v>
      </c>
      <c r="AQ170" s="669">
        <v>58</v>
      </c>
      <c r="AR170" s="669">
        <v>66</v>
      </c>
      <c r="AS170" s="669">
        <v>74</v>
      </c>
      <c r="AT170" s="669">
        <v>82</v>
      </c>
      <c r="AU170" s="669">
        <v>90</v>
      </c>
      <c r="AV170" s="669">
        <v>98</v>
      </c>
      <c r="AW170" s="120"/>
      <c r="BJ170" s="211"/>
      <c r="BK170" s="211"/>
      <c r="BL170" s="211"/>
    </row>
    <row r="171" spans="1:64" ht="30.25" customHeight="1" x14ac:dyDescent="0.25">
      <c r="A171" s="593" t="s">
        <v>2594</v>
      </c>
      <c r="B171" s="593" t="s">
        <v>3353</v>
      </c>
      <c r="C171" s="594" t="str">
        <f t="shared" si="17"/>
        <v>RENAULT ZOE ZEN R135</v>
      </c>
      <c r="D171" s="593" t="s">
        <v>2741</v>
      </c>
      <c r="E171" s="593">
        <v>100</v>
      </c>
      <c r="F171" s="593" t="s">
        <v>2521</v>
      </c>
      <c r="G171" s="642">
        <v>18.5</v>
      </c>
      <c r="H171" s="593"/>
      <c r="I171" s="593">
        <v>0</v>
      </c>
      <c r="J171" s="595"/>
      <c r="K171" s="595"/>
      <c r="L171" s="595">
        <v>35290</v>
      </c>
      <c r="M171" s="596"/>
      <c r="N171" s="643" t="s">
        <v>2875</v>
      </c>
      <c r="O171" s="576"/>
      <c r="P171" s="603"/>
      <c r="Q171" s="603"/>
      <c r="R171" s="603"/>
      <c r="S171" s="603"/>
      <c r="T171" s="603"/>
      <c r="U171" s="603"/>
      <c r="V171" s="603"/>
      <c r="W171" s="603"/>
      <c r="X171" s="603"/>
      <c r="Y171" s="603"/>
      <c r="Z171" s="603"/>
      <c r="AA171" s="603"/>
      <c r="AB171" s="603"/>
      <c r="AC171" s="603"/>
      <c r="AD171" s="603"/>
      <c r="AE171" s="670"/>
      <c r="AF171" s="611"/>
      <c r="AG171" s="611"/>
      <c r="AH171" s="611"/>
      <c r="AI171" s="611"/>
      <c r="AJ171" s="611"/>
      <c r="AK171" s="611"/>
      <c r="AL171" s="611"/>
      <c r="AM171" s="611"/>
      <c r="AN171" s="119"/>
      <c r="AO171" s="119"/>
      <c r="AP171" s="667">
        <v>36</v>
      </c>
      <c r="AQ171" s="669">
        <v>58</v>
      </c>
      <c r="AR171" s="669">
        <v>66</v>
      </c>
      <c r="AS171" s="669">
        <v>74</v>
      </c>
      <c r="AT171" s="669">
        <v>82</v>
      </c>
      <c r="AU171" s="669">
        <v>90</v>
      </c>
      <c r="AV171" s="669">
        <v>98</v>
      </c>
      <c r="AW171" s="120"/>
      <c r="BJ171" s="211"/>
      <c r="BK171" s="211"/>
      <c r="BL171" s="211"/>
    </row>
    <row r="172" spans="1:64" ht="30.25" customHeight="1" x14ac:dyDescent="0.25">
      <c r="A172" s="593" t="s">
        <v>2594</v>
      </c>
      <c r="B172" s="593" t="s">
        <v>3354</v>
      </c>
      <c r="C172" s="594" t="str">
        <f t="shared" si="17"/>
        <v>RENAULT ZOE INTENS R135</v>
      </c>
      <c r="D172" s="593" t="s">
        <v>2741</v>
      </c>
      <c r="E172" s="593">
        <v>100</v>
      </c>
      <c r="F172" s="593" t="s">
        <v>2521</v>
      </c>
      <c r="G172" s="642">
        <v>18.5</v>
      </c>
      <c r="H172" s="593"/>
      <c r="I172" s="593">
        <v>0</v>
      </c>
      <c r="J172" s="595"/>
      <c r="K172" s="595"/>
      <c r="L172" s="595">
        <v>36990</v>
      </c>
      <c r="M172" s="596"/>
      <c r="N172" s="643" t="s">
        <v>2875</v>
      </c>
      <c r="O172" s="576"/>
      <c r="P172" s="603"/>
      <c r="Q172" s="603"/>
      <c r="R172" s="603"/>
      <c r="S172" s="603"/>
      <c r="T172" s="603"/>
      <c r="U172" s="603"/>
      <c r="V172" s="603"/>
      <c r="W172" s="603"/>
      <c r="X172" s="603"/>
      <c r="Y172" s="603"/>
      <c r="Z172" s="603"/>
      <c r="AA172" s="603"/>
      <c r="AB172" s="603"/>
      <c r="AC172" s="603"/>
      <c r="AD172" s="603"/>
      <c r="AE172" s="609"/>
      <c r="AF172" s="609"/>
      <c r="AG172" s="609"/>
      <c r="AH172" s="609"/>
      <c r="AI172" s="609"/>
      <c r="AJ172" s="609"/>
      <c r="AK172" s="611"/>
      <c r="AL172" s="611"/>
      <c r="AM172" s="611"/>
      <c r="AN172" s="119"/>
      <c r="AO172" s="119"/>
      <c r="AP172" s="119"/>
      <c r="AQ172" s="589" t="b">
        <f>IF(AND(Eingabe!$G$7&lt;=AQ167),AQ167)</f>
        <v>0</v>
      </c>
      <c r="AR172" s="589" t="b">
        <f>IF(AND(Eingabe!$G$7&lt;=AR167,Eingabe!$G$7&gt;AQ167),AR167)</f>
        <v>0</v>
      </c>
      <c r="AS172" s="589" t="b">
        <f>IF(AND(Eingabe!$G$7&lt;=AS167,Eingabe!$G$7&gt;AR167),AS167)</f>
        <v>0</v>
      </c>
      <c r="AT172" s="589">
        <f>IF(AND(Eingabe!$G$7&lt;=AT167,Eingabe!$G$7&gt;AS167),AT167)</f>
        <v>15000</v>
      </c>
      <c r="AU172" s="589" t="b">
        <f>IF(AND(Eingabe!$G$7&lt;=AU167,Eingabe!$G$7&gt;AT167),AU167)</f>
        <v>0</v>
      </c>
      <c r="AV172" s="589" t="b">
        <f>IF(AND(Eingabe!$G$7&lt;=AV167,Eingabe!$G$7&gt;AU167),AV167)</f>
        <v>0</v>
      </c>
      <c r="AX172" s="115"/>
      <c r="BJ172" s="211"/>
      <c r="BK172" s="211"/>
      <c r="BL172" s="211"/>
    </row>
    <row r="173" spans="1:64" s="657" customFormat="1" ht="30.25" customHeight="1" x14ac:dyDescent="0.25">
      <c r="A173" s="593" t="s">
        <v>2594</v>
      </c>
      <c r="B173" s="593" t="s">
        <v>3524</v>
      </c>
      <c r="C173" s="594" t="str">
        <f t="shared" ref="C173" si="35">CONCATENATE(A173," ",B173)</f>
        <v>RENAULT ZOE RIVIERA R135</v>
      </c>
      <c r="D173" s="593" t="s">
        <v>2741</v>
      </c>
      <c r="E173" s="593">
        <v>100</v>
      </c>
      <c r="F173" s="593" t="s">
        <v>2521</v>
      </c>
      <c r="G173" s="642">
        <v>18.5</v>
      </c>
      <c r="H173" s="593"/>
      <c r="I173" s="593">
        <v>0</v>
      </c>
      <c r="J173" s="595"/>
      <c r="K173" s="595"/>
      <c r="L173" s="595">
        <v>38690</v>
      </c>
      <c r="M173" s="596"/>
      <c r="N173" s="643" t="s">
        <v>2875</v>
      </c>
      <c r="O173" s="659"/>
      <c r="P173" s="603"/>
      <c r="Q173" s="603"/>
      <c r="R173" s="603"/>
      <c r="S173" s="603"/>
      <c r="T173" s="603"/>
      <c r="U173" s="603"/>
      <c r="V173" s="603"/>
      <c r="W173" s="603"/>
      <c r="X173" s="603"/>
      <c r="Y173" s="603"/>
      <c r="Z173" s="603"/>
      <c r="AA173" s="603"/>
      <c r="AB173" s="603"/>
      <c r="AC173" s="603"/>
      <c r="AD173" s="603"/>
      <c r="AE173" s="609"/>
      <c r="AF173" s="609"/>
      <c r="AG173" s="609"/>
      <c r="AH173" s="609"/>
      <c r="AI173" s="609"/>
      <c r="AJ173" s="609"/>
      <c r="AK173" s="611"/>
      <c r="AL173" s="611"/>
      <c r="AM173" s="611"/>
      <c r="AN173" s="119"/>
      <c r="AO173" s="119"/>
      <c r="AP173" s="119"/>
      <c r="AQ173" s="589" t="b">
        <f>IF(AND(Eingabe!$G$7&lt;=AQ168),AQ168)</f>
        <v>0</v>
      </c>
      <c r="AR173" s="589" t="b">
        <f>IF(AND(Eingabe!$G$7&lt;=AR168,Eingabe!$G$7&gt;AQ168),AR168)</f>
        <v>0</v>
      </c>
      <c r="AS173" s="589" t="b">
        <f>IF(AND(Eingabe!$G$7&lt;=AS168,Eingabe!$G$7&gt;AR168),AS168)</f>
        <v>0</v>
      </c>
      <c r="AT173" s="589" t="b">
        <f>IF(AND(Eingabe!$G$7&lt;=AT168,Eingabe!$G$7&gt;AS168),AT168)</f>
        <v>0</v>
      </c>
      <c r="AU173" s="589" t="b">
        <f>IF(AND(Eingabe!$G$7&lt;=AU168,Eingabe!$G$7&gt;AT168),AU168)</f>
        <v>0</v>
      </c>
      <c r="AV173" s="589" t="b">
        <f>IF(AND(Eingabe!$G$7&lt;=AV168,Eingabe!$G$7&gt;AU168),AV168)</f>
        <v>0</v>
      </c>
      <c r="AW173" s="122"/>
      <c r="AX173" s="115"/>
      <c r="AY173" s="122"/>
      <c r="AZ173" s="122"/>
      <c r="BA173" s="122"/>
      <c r="BB173" s="122"/>
      <c r="BC173" s="122"/>
      <c r="BD173" s="122"/>
      <c r="BE173" s="122"/>
      <c r="BF173" s="122"/>
      <c r="BG173" s="122"/>
      <c r="BH173" s="122"/>
      <c r="BI173" s="122"/>
    </row>
    <row r="174" spans="1:64" s="662" customFormat="1" ht="30.25" customHeight="1" x14ac:dyDescent="0.25">
      <c r="A174" s="593" t="s">
        <v>2594</v>
      </c>
      <c r="B174" s="593" t="s">
        <v>3525</v>
      </c>
      <c r="C174" s="594" t="str">
        <f t="shared" ref="C174:C176" si="36">CONCATENATE(A174," ",B174)</f>
        <v>RENAULT Kangoo Z.E. COMPLETE 2-Sitzer</v>
      </c>
      <c r="D174" s="593" t="s">
        <v>2741</v>
      </c>
      <c r="E174" s="593">
        <v>44</v>
      </c>
      <c r="F174" s="593" t="s">
        <v>2521</v>
      </c>
      <c r="G174" s="642">
        <v>12.3</v>
      </c>
      <c r="H174" s="593"/>
      <c r="I174" s="593">
        <v>0</v>
      </c>
      <c r="J174" s="595"/>
      <c r="K174" s="595"/>
      <c r="L174" s="595">
        <v>33880</v>
      </c>
      <c r="M174" s="596"/>
      <c r="N174" s="643" t="s">
        <v>3351</v>
      </c>
      <c r="O174" s="661" t="s">
        <v>2973</v>
      </c>
      <c r="P174" s="601"/>
      <c r="Q174" s="603"/>
      <c r="R174" s="603"/>
      <c r="S174" s="603"/>
      <c r="T174" s="603"/>
      <c r="U174" s="603"/>
      <c r="V174" s="603"/>
      <c r="W174" s="603"/>
      <c r="X174" s="603"/>
      <c r="Y174" s="603"/>
      <c r="Z174" s="603"/>
      <c r="AA174" s="603"/>
      <c r="AB174" s="603"/>
      <c r="AC174" s="603"/>
      <c r="AD174" s="603"/>
      <c r="AE174" s="609"/>
      <c r="AF174" s="609"/>
      <c r="AG174" s="609"/>
      <c r="AH174" s="609"/>
      <c r="AI174" s="609"/>
      <c r="AJ174" s="609"/>
      <c r="AK174" s="611"/>
      <c r="AL174" s="611"/>
      <c r="AM174" s="611"/>
      <c r="AN174" s="119"/>
      <c r="AO174" s="119"/>
      <c r="AP174" s="119"/>
      <c r="AQ174" s="589" t="e">
        <f>IF(#REF!=AQ170,1,0)</f>
        <v>#REF!</v>
      </c>
      <c r="AR174" s="589" t="e">
        <f>IF(#REF!=AR170,2,0)</f>
        <v>#REF!</v>
      </c>
      <c r="AS174" s="589" t="e">
        <f>IF(#REF!=AS170,3,0)</f>
        <v>#REF!</v>
      </c>
      <c r="AT174" s="589" t="e">
        <f>IF(#REF!=AT170,4,0)</f>
        <v>#REF!</v>
      </c>
      <c r="AU174" s="589" t="e">
        <f>IF(#REF!=AU170,5,0)</f>
        <v>#REF!</v>
      </c>
      <c r="AV174" s="589" t="e">
        <f>IF(#REF!=AV170,5,0)</f>
        <v>#REF!</v>
      </c>
      <c r="AW174" s="122"/>
      <c r="AX174" s="115"/>
      <c r="AY174" s="122"/>
      <c r="AZ174" s="122"/>
      <c r="BA174" s="122"/>
      <c r="BB174" s="122"/>
      <c r="BC174" s="122"/>
      <c r="BD174" s="122"/>
      <c r="BE174" s="122"/>
      <c r="BF174" s="122"/>
      <c r="BG174" s="122"/>
      <c r="BH174" s="122"/>
      <c r="BI174" s="122"/>
    </row>
    <row r="175" spans="1:64" s="662" customFormat="1" ht="30.25" customHeight="1" x14ac:dyDescent="0.25">
      <c r="A175" s="593" t="s">
        <v>2594</v>
      </c>
      <c r="B175" s="593" t="s">
        <v>3526</v>
      </c>
      <c r="C175" s="594" t="str">
        <f t="shared" si="36"/>
        <v>RENAULT Kangoo Maxi Z.E. COMPLETE 2-Sitzer</v>
      </c>
      <c r="D175" s="593" t="s">
        <v>2741</v>
      </c>
      <c r="E175" s="593">
        <v>44</v>
      </c>
      <c r="F175" s="593" t="s">
        <v>2521</v>
      </c>
      <c r="G175" s="642">
        <v>12.3</v>
      </c>
      <c r="H175" s="593"/>
      <c r="I175" s="593">
        <v>0</v>
      </c>
      <c r="J175" s="595"/>
      <c r="K175" s="595"/>
      <c r="L175" s="595">
        <v>35320</v>
      </c>
      <c r="M175" s="596"/>
      <c r="N175" s="643" t="s">
        <v>3351</v>
      </c>
      <c r="O175" s="661" t="s">
        <v>2973</v>
      </c>
      <c r="P175" s="601"/>
      <c r="Q175" s="603"/>
      <c r="R175" s="603"/>
      <c r="S175" s="603"/>
      <c r="T175" s="603"/>
      <c r="U175" s="603"/>
      <c r="V175" s="603"/>
      <c r="W175" s="603"/>
      <c r="X175" s="603"/>
      <c r="Y175" s="603"/>
      <c r="Z175" s="603"/>
      <c r="AA175" s="603"/>
      <c r="AB175" s="603"/>
      <c r="AC175" s="603"/>
      <c r="AD175" s="603"/>
      <c r="AE175" s="609"/>
      <c r="AF175" s="609"/>
      <c r="AG175" s="609"/>
      <c r="AH175" s="609"/>
      <c r="AI175" s="609"/>
      <c r="AJ175" s="609"/>
      <c r="AK175" s="611"/>
      <c r="AL175" s="611"/>
      <c r="AM175" s="611"/>
      <c r="AN175" s="119"/>
      <c r="AO175" s="119"/>
      <c r="AP175" s="119"/>
      <c r="AQ175" s="589"/>
      <c r="AR175" s="589"/>
      <c r="AS175" s="589"/>
      <c r="AT175" s="589"/>
      <c r="AU175" s="589"/>
      <c r="AV175" s="120"/>
      <c r="AW175" s="122"/>
      <c r="AX175" s="115"/>
      <c r="AY175" s="122"/>
      <c r="AZ175" s="122"/>
      <c r="BA175" s="122"/>
      <c r="BB175" s="122"/>
      <c r="BC175" s="122"/>
      <c r="BD175" s="122"/>
      <c r="BE175" s="122"/>
      <c r="BF175" s="122"/>
      <c r="BG175" s="122"/>
      <c r="BH175" s="122"/>
      <c r="BI175" s="122"/>
    </row>
    <row r="176" spans="1:64" s="662" customFormat="1" ht="30.25" customHeight="1" x14ac:dyDescent="0.25">
      <c r="A176" s="593" t="s">
        <v>2594</v>
      </c>
      <c r="B176" s="593" t="s">
        <v>3527</v>
      </c>
      <c r="C176" s="594" t="str">
        <f t="shared" si="36"/>
        <v>RENAULT Kangoo Maxi Z.E. COMPLETE 5-Sitzer</v>
      </c>
      <c r="D176" s="593" t="s">
        <v>2741</v>
      </c>
      <c r="E176" s="593">
        <v>44</v>
      </c>
      <c r="F176" s="593" t="s">
        <v>2521</v>
      </c>
      <c r="G176" s="642">
        <v>12.3</v>
      </c>
      <c r="H176" s="593"/>
      <c r="I176" s="593">
        <v>0</v>
      </c>
      <c r="J176" s="595"/>
      <c r="K176" s="595"/>
      <c r="L176" s="595">
        <v>36280</v>
      </c>
      <c r="M176" s="596"/>
      <c r="N176" s="643" t="s">
        <v>3351</v>
      </c>
      <c r="O176" s="661"/>
      <c r="P176" s="601"/>
      <c r="Q176" s="603"/>
      <c r="R176" s="603"/>
      <c r="S176" s="603"/>
      <c r="T176" s="603"/>
      <c r="U176" s="603"/>
      <c r="V176" s="603"/>
      <c r="W176" s="603"/>
      <c r="X176" s="603"/>
      <c r="Y176" s="603"/>
      <c r="Z176" s="603"/>
      <c r="AA176" s="603"/>
      <c r="AB176" s="603"/>
      <c r="AC176" s="603"/>
      <c r="AD176" s="603"/>
      <c r="AE176" s="609"/>
      <c r="AF176" s="609"/>
      <c r="AG176" s="609"/>
      <c r="AH176" s="609"/>
      <c r="AI176" s="609"/>
      <c r="AJ176" s="609"/>
      <c r="AK176" s="611"/>
      <c r="AL176" s="611"/>
      <c r="AM176" s="611"/>
      <c r="AN176" s="119"/>
      <c r="AO176" s="119"/>
      <c r="AP176" s="119"/>
      <c r="AQ176" s="589"/>
      <c r="AR176" s="589"/>
      <c r="AS176" s="589"/>
      <c r="AT176" s="589"/>
      <c r="AU176" s="589"/>
      <c r="AV176" s="120"/>
      <c r="AW176" s="122"/>
      <c r="AX176" s="115"/>
      <c r="AY176" s="122"/>
      <c r="AZ176" s="122"/>
      <c r="BA176" s="122"/>
      <c r="BB176" s="122"/>
      <c r="BC176" s="122"/>
      <c r="BD176" s="122"/>
      <c r="BE176" s="122"/>
      <c r="BF176" s="122"/>
      <c r="BG176" s="122"/>
      <c r="BH176" s="122"/>
      <c r="BI176" s="122"/>
    </row>
    <row r="177" spans="1:64" ht="30.25" customHeight="1" x14ac:dyDescent="0.25">
      <c r="A177" s="593" t="s">
        <v>2594</v>
      </c>
      <c r="B177" s="593" t="s">
        <v>3310</v>
      </c>
      <c r="C177" s="594" t="str">
        <f t="shared" si="17"/>
        <v>RENAULT Master Z.E. Kastenwagen L1H1 3-Sitzer</v>
      </c>
      <c r="D177" s="593" t="s">
        <v>2741</v>
      </c>
      <c r="E177" s="593">
        <v>57</v>
      </c>
      <c r="F177" s="593" t="s">
        <v>2521</v>
      </c>
      <c r="G177" s="642">
        <v>21</v>
      </c>
      <c r="H177" s="593"/>
      <c r="I177" s="593">
        <v>0</v>
      </c>
      <c r="J177" s="595"/>
      <c r="K177" s="595"/>
      <c r="L177" s="595">
        <v>63960</v>
      </c>
      <c r="M177" s="596"/>
      <c r="N177" s="643" t="s">
        <v>3351</v>
      </c>
      <c r="O177" s="576"/>
      <c r="P177" s="601"/>
      <c r="Q177" s="603"/>
      <c r="R177" s="603"/>
      <c r="S177" s="603"/>
      <c r="T177" s="603"/>
      <c r="U177" s="603"/>
      <c r="V177" s="603"/>
      <c r="W177" s="603"/>
      <c r="X177" s="603"/>
      <c r="Y177" s="603"/>
      <c r="Z177" s="603"/>
      <c r="AA177" s="603"/>
      <c r="AB177" s="603"/>
      <c r="AC177" s="603"/>
      <c r="AD177" s="603"/>
      <c r="AE177" s="609"/>
      <c r="AF177" s="609"/>
      <c r="AG177" s="609"/>
      <c r="AH177" s="609"/>
      <c r="AI177" s="609"/>
      <c r="AJ177" s="609"/>
      <c r="AK177" s="611"/>
      <c r="AL177" s="611"/>
      <c r="AM177" s="611"/>
      <c r="AN177" s="119"/>
      <c r="AO177" s="119"/>
      <c r="AP177" s="119"/>
      <c r="AQ177" s="589"/>
      <c r="AR177" s="589"/>
      <c r="AS177" s="589"/>
      <c r="AT177" s="589"/>
      <c r="AU177" s="589"/>
      <c r="AV177" s="120"/>
      <c r="AX177" s="115"/>
      <c r="BJ177" s="211"/>
      <c r="BK177" s="211"/>
      <c r="BL177" s="211"/>
    </row>
    <row r="178" spans="1:64" ht="30.25" customHeight="1" x14ac:dyDescent="0.25">
      <c r="A178" s="593" t="s">
        <v>2594</v>
      </c>
      <c r="B178" s="593" t="s">
        <v>3311</v>
      </c>
      <c r="C178" s="594" t="str">
        <f t="shared" si="17"/>
        <v>RENAULT Master Z.E. Kastenwagen L1H2 3-Sitzer</v>
      </c>
      <c r="D178" s="593" t="s">
        <v>2741</v>
      </c>
      <c r="E178" s="593">
        <v>57</v>
      </c>
      <c r="F178" s="593" t="s">
        <v>2521</v>
      </c>
      <c r="G178" s="642">
        <v>21</v>
      </c>
      <c r="H178" s="593"/>
      <c r="I178" s="593">
        <v>0</v>
      </c>
      <c r="J178" s="595"/>
      <c r="K178" s="595"/>
      <c r="L178" s="595">
        <v>64920</v>
      </c>
      <c r="M178" s="596"/>
      <c r="N178" s="643" t="s">
        <v>3351</v>
      </c>
      <c r="O178" s="576"/>
      <c r="P178" s="601"/>
      <c r="Q178" s="603"/>
      <c r="R178" s="603"/>
      <c r="S178" s="603"/>
      <c r="T178" s="603"/>
      <c r="U178" s="603"/>
      <c r="V178" s="603"/>
      <c r="W178" s="603"/>
      <c r="X178" s="603"/>
      <c r="Y178" s="603"/>
      <c r="Z178" s="603"/>
      <c r="AA178" s="603"/>
      <c r="AB178" s="603"/>
      <c r="AC178" s="603"/>
      <c r="AD178" s="603"/>
      <c r="AE178" s="609"/>
      <c r="AF178" s="609"/>
      <c r="AG178" s="609"/>
      <c r="AH178" s="609"/>
      <c r="AI178" s="609"/>
      <c r="AJ178" s="609"/>
      <c r="AK178" s="611"/>
      <c r="AL178" s="611"/>
      <c r="AM178" s="611"/>
      <c r="AN178" s="119"/>
      <c r="AO178" s="119"/>
      <c r="AP178" s="119"/>
      <c r="AQ178" s="589"/>
      <c r="AR178" s="589"/>
      <c r="AS178" s="589"/>
      <c r="AT178" s="589"/>
      <c r="AU178" s="589"/>
      <c r="AV178" s="120"/>
      <c r="AX178" s="115"/>
      <c r="BJ178" s="211"/>
      <c r="BK178" s="211"/>
      <c r="BL178" s="211"/>
    </row>
    <row r="179" spans="1:64" s="657" customFormat="1" ht="30.25" customHeight="1" x14ac:dyDescent="0.25">
      <c r="A179" s="593" t="s">
        <v>2594</v>
      </c>
      <c r="B179" s="593" t="s">
        <v>3311</v>
      </c>
      <c r="C179" s="594" t="str">
        <f t="shared" ref="C179" si="37">CONCATENATE(A179," ",B179)</f>
        <v>RENAULT Master Z.E. Kastenwagen L1H2 3-Sitzer</v>
      </c>
      <c r="D179" s="593" t="s">
        <v>2741</v>
      </c>
      <c r="E179" s="593">
        <v>57</v>
      </c>
      <c r="F179" s="593" t="s">
        <v>2521</v>
      </c>
      <c r="G179" s="642">
        <v>21</v>
      </c>
      <c r="H179" s="593"/>
      <c r="I179" s="593">
        <v>0</v>
      </c>
      <c r="J179" s="595"/>
      <c r="K179" s="595"/>
      <c r="L179" s="595">
        <v>70920</v>
      </c>
      <c r="M179" s="596"/>
      <c r="N179" s="643" t="s">
        <v>3351</v>
      </c>
      <c r="O179" s="659"/>
      <c r="P179" s="601"/>
      <c r="Q179" s="603"/>
      <c r="R179" s="603"/>
      <c r="S179" s="603"/>
      <c r="T179" s="603"/>
      <c r="U179" s="603"/>
      <c r="V179" s="603"/>
      <c r="W179" s="603"/>
      <c r="X179" s="603"/>
      <c r="Y179" s="603"/>
      <c r="Z179" s="603"/>
      <c r="AA179" s="603"/>
      <c r="AB179" s="603"/>
      <c r="AC179" s="603"/>
      <c r="AD179" s="603"/>
      <c r="AE179" s="609"/>
      <c r="AF179" s="609"/>
      <c r="AG179" s="609"/>
      <c r="AH179" s="609"/>
      <c r="AI179" s="609"/>
      <c r="AJ179" s="609"/>
      <c r="AK179" s="611"/>
      <c r="AL179" s="611"/>
      <c r="AM179" s="611"/>
      <c r="AN179" s="119"/>
      <c r="AO179" s="119"/>
      <c r="AP179" s="119"/>
      <c r="AQ179" s="589"/>
      <c r="AR179" s="589"/>
      <c r="AS179" s="589"/>
      <c r="AT179" s="589"/>
      <c r="AU179" s="589"/>
      <c r="AV179" s="120"/>
      <c r="AW179" s="122"/>
      <c r="AX179" s="115"/>
      <c r="AY179" s="122"/>
      <c r="AZ179" s="122"/>
      <c r="BA179" s="122"/>
      <c r="BB179" s="122"/>
      <c r="BC179" s="122"/>
      <c r="BD179" s="122"/>
      <c r="BE179" s="122"/>
      <c r="BF179" s="122"/>
      <c r="BG179" s="122"/>
      <c r="BH179" s="122"/>
      <c r="BI179" s="122"/>
    </row>
    <row r="180" spans="1:64" ht="30.25" customHeight="1" x14ac:dyDescent="0.25">
      <c r="A180" s="593" t="s">
        <v>2594</v>
      </c>
      <c r="B180" s="593" t="s">
        <v>3312</v>
      </c>
      <c r="C180" s="594" t="str">
        <f t="shared" si="17"/>
        <v>RENAULT Master Z.E. Kastenwagen L2H2 3-Sitzer</v>
      </c>
      <c r="D180" s="593" t="s">
        <v>2741</v>
      </c>
      <c r="E180" s="593">
        <v>57</v>
      </c>
      <c r="F180" s="593" t="s">
        <v>2521</v>
      </c>
      <c r="G180" s="642">
        <v>21</v>
      </c>
      <c r="H180" s="593"/>
      <c r="I180" s="593">
        <v>0</v>
      </c>
      <c r="J180" s="595"/>
      <c r="K180" s="595"/>
      <c r="L180" s="595">
        <v>65880</v>
      </c>
      <c r="M180" s="596"/>
      <c r="N180" s="643" t="s">
        <v>3351</v>
      </c>
      <c r="O180" s="576"/>
      <c r="P180" s="601"/>
      <c r="Q180" s="603"/>
      <c r="R180" s="603"/>
      <c r="S180" s="603"/>
      <c r="T180" s="603"/>
      <c r="U180" s="603"/>
      <c r="V180" s="603"/>
      <c r="W180" s="603"/>
      <c r="X180" s="603"/>
      <c r="Y180" s="603"/>
      <c r="Z180" s="603"/>
      <c r="AA180" s="603"/>
      <c r="AB180" s="603"/>
      <c r="AC180" s="603"/>
      <c r="AD180" s="603"/>
      <c r="AE180" s="609"/>
      <c r="AF180" s="609"/>
      <c r="AG180" s="609"/>
      <c r="AH180" s="609"/>
      <c r="AI180" s="609"/>
      <c r="AJ180" s="609"/>
      <c r="AK180" s="611"/>
      <c r="AL180" s="611"/>
      <c r="AM180" s="611"/>
      <c r="AN180" s="119"/>
      <c r="AO180" s="119"/>
      <c r="AP180" s="119"/>
      <c r="AQ180" s="589"/>
      <c r="AR180" s="589"/>
      <c r="AS180" s="589"/>
      <c r="AT180" s="589"/>
      <c r="AU180" s="589"/>
      <c r="AV180" s="120"/>
      <c r="AX180" s="115"/>
      <c r="BJ180" s="211"/>
      <c r="BK180" s="211"/>
      <c r="BL180" s="211"/>
    </row>
    <row r="181" spans="1:64" s="657" customFormat="1" ht="30.25" customHeight="1" x14ac:dyDescent="0.25">
      <c r="A181" s="593" t="s">
        <v>2594</v>
      </c>
      <c r="B181" s="593" t="s">
        <v>3312</v>
      </c>
      <c r="C181" s="594" t="str">
        <f t="shared" ref="C181" si="38">CONCATENATE(A181," ",B181)</f>
        <v>RENAULT Master Z.E. Kastenwagen L2H2 3-Sitzer</v>
      </c>
      <c r="D181" s="593" t="s">
        <v>2741</v>
      </c>
      <c r="E181" s="593">
        <v>57</v>
      </c>
      <c r="F181" s="593" t="s">
        <v>2521</v>
      </c>
      <c r="G181" s="642">
        <v>21</v>
      </c>
      <c r="H181" s="593"/>
      <c r="I181" s="593">
        <v>0</v>
      </c>
      <c r="J181" s="595"/>
      <c r="K181" s="595"/>
      <c r="L181" s="595">
        <v>71880</v>
      </c>
      <c r="M181" s="596"/>
      <c r="N181" s="643" t="s">
        <v>3351</v>
      </c>
      <c r="O181" s="659"/>
      <c r="P181" s="601"/>
      <c r="Q181" s="603"/>
      <c r="R181" s="603"/>
      <c r="S181" s="603"/>
      <c r="T181" s="603"/>
      <c r="U181" s="603"/>
      <c r="V181" s="603"/>
      <c r="W181" s="603"/>
      <c r="X181" s="603"/>
      <c r="Y181" s="603"/>
      <c r="Z181" s="603"/>
      <c r="AA181" s="603"/>
      <c r="AB181" s="603"/>
      <c r="AC181" s="603"/>
      <c r="AD181" s="603"/>
      <c r="AE181" s="609"/>
      <c r="AF181" s="609"/>
      <c r="AG181" s="609"/>
      <c r="AH181" s="609"/>
      <c r="AI181" s="609"/>
      <c r="AJ181" s="609"/>
      <c r="AK181" s="611"/>
      <c r="AL181" s="611"/>
      <c r="AM181" s="611"/>
      <c r="AN181" s="119"/>
      <c r="AO181" s="119"/>
      <c r="AP181" s="119"/>
      <c r="AQ181" s="589"/>
      <c r="AR181" s="589"/>
      <c r="AS181" s="589"/>
      <c r="AT181" s="589"/>
      <c r="AU181" s="589"/>
      <c r="AV181" s="120"/>
      <c r="AW181" s="122"/>
      <c r="AX181" s="115"/>
      <c r="AY181" s="122"/>
      <c r="AZ181" s="122"/>
      <c r="BA181" s="122"/>
      <c r="BB181" s="122"/>
      <c r="BC181" s="122"/>
      <c r="BD181" s="122"/>
      <c r="BE181" s="122"/>
      <c r="BF181" s="122"/>
      <c r="BG181" s="122"/>
      <c r="BH181" s="122"/>
      <c r="BI181" s="122"/>
    </row>
    <row r="182" spans="1:64" ht="30.25" customHeight="1" x14ac:dyDescent="0.25">
      <c r="A182" s="593" t="s">
        <v>2594</v>
      </c>
      <c r="B182" s="593" t="s">
        <v>3313</v>
      </c>
      <c r="C182" s="594" t="str">
        <f t="shared" si="17"/>
        <v>RENAULT Master Z.E. Kastenwagen L3H2 3-Sitzer</v>
      </c>
      <c r="D182" s="593" t="s">
        <v>2741</v>
      </c>
      <c r="E182" s="593">
        <v>57</v>
      </c>
      <c r="F182" s="593" t="s">
        <v>2521</v>
      </c>
      <c r="G182" s="642">
        <v>21</v>
      </c>
      <c r="H182" s="593"/>
      <c r="I182" s="593">
        <v>0</v>
      </c>
      <c r="J182" s="595"/>
      <c r="K182" s="595"/>
      <c r="L182" s="595">
        <v>67080</v>
      </c>
      <c r="M182" s="596"/>
      <c r="N182" s="643" t="s">
        <v>3351</v>
      </c>
      <c r="O182" s="576"/>
      <c r="P182" s="601"/>
      <c r="Q182" s="603"/>
      <c r="R182" s="603"/>
      <c r="S182" s="603"/>
      <c r="T182" s="603"/>
      <c r="U182" s="603"/>
      <c r="V182" s="603"/>
      <c r="W182" s="603"/>
      <c r="X182" s="603"/>
      <c r="Y182" s="603"/>
      <c r="Z182" s="603"/>
      <c r="AA182" s="603"/>
      <c r="AB182" s="603"/>
      <c r="AC182" s="603"/>
      <c r="AD182" s="603"/>
      <c r="AE182" s="609"/>
      <c r="AF182" s="609"/>
      <c r="AG182" s="609"/>
      <c r="AH182" s="609"/>
      <c r="AI182" s="609"/>
      <c r="AJ182" s="609"/>
      <c r="AK182" s="611"/>
      <c r="AL182" s="611"/>
      <c r="AM182" s="611"/>
      <c r="AN182" s="119"/>
      <c r="AO182" s="119"/>
      <c r="AP182" s="119"/>
      <c r="AQ182" s="589"/>
      <c r="AR182" s="589"/>
      <c r="AS182" s="589"/>
      <c r="AT182" s="589"/>
      <c r="AU182" s="589"/>
      <c r="AV182" s="589"/>
      <c r="AX182" s="115"/>
      <c r="BJ182" s="211"/>
      <c r="BK182" s="211"/>
      <c r="BL182" s="211"/>
    </row>
    <row r="183" spans="1:64" s="657" customFormat="1" ht="30.25" customHeight="1" x14ac:dyDescent="0.25">
      <c r="A183" s="593" t="s">
        <v>2594</v>
      </c>
      <c r="B183" s="593" t="s">
        <v>3313</v>
      </c>
      <c r="C183" s="594" t="str">
        <f t="shared" ref="C183" si="39">CONCATENATE(A183," ",B183)</f>
        <v>RENAULT Master Z.E. Kastenwagen L3H2 3-Sitzer</v>
      </c>
      <c r="D183" s="593" t="s">
        <v>2741</v>
      </c>
      <c r="E183" s="593">
        <v>57</v>
      </c>
      <c r="F183" s="593" t="s">
        <v>2521</v>
      </c>
      <c r="G183" s="642">
        <v>21</v>
      </c>
      <c r="H183" s="593"/>
      <c r="I183" s="593">
        <v>0</v>
      </c>
      <c r="J183" s="595"/>
      <c r="K183" s="595"/>
      <c r="L183" s="595">
        <v>73080</v>
      </c>
      <c r="M183" s="596"/>
      <c r="N183" s="643" t="s">
        <v>3351</v>
      </c>
      <c r="O183" s="659"/>
      <c r="P183" s="601"/>
      <c r="Q183" s="603"/>
      <c r="R183" s="603"/>
      <c r="S183" s="603"/>
      <c r="T183" s="603"/>
      <c r="U183" s="603"/>
      <c r="V183" s="603"/>
      <c r="W183" s="603"/>
      <c r="X183" s="603"/>
      <c r="Y183" s="603"/>
      <c r="Z183" s="603"/>
      <c r="AA183" s="603"/>
      <c r="AB183" s="603"/>
      <c r="AC183" s="603"/>
      <c r="AD183" s="603"/>
      <c r="AE183" s="609"/>
      <c r="AF183" s="609"/>
      <c r="AG183" s="609"/>
      <c r="AH183" s="609"/>
      <c r="AI183" s="609"/>
      <c r="AJ183" s="609"/>
      <c r="AK183" s="611"/>
      <c r="AL183" s="611"/>
      <c r="AM183" s="611"/>
      <c r="AN183" s="119"/>
      <c r="AO183" s="119"/>
      <c r="AP183" s="119"/>
      <c r="AQ183" s="589"/>
      <c r="AR183" s="589"/>
      <c r="AS183" s="589"/>
      <c r="AT183" s="589"/>
      <c r="AU183" s="589"/>
      <c r="AV183" s="589"/>
      <c r="AW183" s="122"/>
      <c r="AX183" s="115"/>
      <c r="AY183" s="122"/>
      <c r="AZ183" s="122"/>
      <c r="BA183" s="122"/>
      <c r="BB183" s="122"/>
      <c r="BC183" s="122"/>
      <c r="BD183" s="122"/>
      <c r="BE183" s="122"/>
      <c r="BF183" s="122"/>
      <c r="BG183" s="122"/>
      <c r="BH183" s="122"/>
      <c r="BI183" s="122"/>
    </row>
    <row r="184" spans="1:64" ht="30.25" customHeight="1" x14ac:dyDescent="0.25">
      <c r="A184" s="593" t="s">
        <v>2594</v>
      </c>
      <c r="B184" s="593" t="s">
        <v>3528</v>
      </c>
      <c r="C184" s="594" t="str">
        <f t="shared" si="17"/>
        <v>RENAULT Master Z.E. Plattform L2 3-Sitzer</v>
      </c>
      <c r="D184" s="593" t="s">
        <v>2741</v>
      </c>
      <c r="E184" s="593">
        <v>57</v>
      </c>
      <c r="F184" s="593" t="s">
        <v>2521</v>
      </c>
      <c r="G184" s="642">
        <v>21</v>
      </c>
      <c r="H184" s="593"/>
      <c r="I184" s="593">
        <v>0</v>
      </c>
      <c r="J184" s="595"/>
      <c r="K184" s="595"/>
      <c r="L184" s="595">
        <v>62760</v>
      </c>
      <c r="M184" s="596"/>
      <c r="N184" s="643" t="s">
        <v>3351</v>
      </c>
      <c r="O184" s="576"/>
      <c r="P184" s="601"/>
      <c r="Q184" s="603"/>
      <c r="R184" s="603"/>
      <c r="S184" s="603"/>
      <c r="T184" s="603"/>
      <c r="U184" s="603"/>
      <c r="V184" s="603"/>
      <c r="W184" s="603"/>
      <c r="X184" s="603"/>
      <c r="Y184" s="603"/>
      <c r="Z184" s="603"/>
      <c r="AA184" s="603"/>
      <c r="AB184" s="603"/>
      <c r="AC184" s="603"/>
      <c r="AD184" s="603"/>
      <c r="AE184" s="609"/>
      <c r="AF184" s="609"/>
      <c r="AG184" s="609"/>
      <c r="AH184" s="609"/>
      <c r="AI184" s="609"/>
      <c r="AJ184" s="609"/>
      <c r="AK184" s="611"/>
      <c r="AL184" s="611"/>
      <c r="AM184" s="611"/>
      <c r="AN184" s="119"/>
      <c r="AO184" s="119"/>
      <c r="AP184" s="119"/>
      <c r="AQ184" s="589"/>
      <c r="AR184" s="589"/>
      <c r="AS184" s="589"/>
      <c r="AT184" s="589"/>
      <c r="AU184" s="589"/>
      <c r="AV184" s="589" t="e">
        <f>SUM(#REF!)</f>
        <v>#REF!</v>
      </c>
      <c r="AX184" s="115"/>
      <c r="BJ184" s="211"/>
      <c r="BK184" s="211"/>
      <c r="BL184" s="211"/>
    </row>
    <row r="185" spans="1:64" s="657" customFormat="1" ht="30.25" customHeight="1" x14ac:dyDescent="0.25">
      <c r="A185" s="593" t="s">
        <v>2594</v>
      </c>
      <c r="B185" s="593" t="s">
        <v>3528</v>
      </c>
      <c r="C185" s="594" t="str">
        <f t="shared" ref="C185" si="40">CONCATENATE(A185," ",B185)</f>
        <v>RENAULT Master Z.E. Plattform L2 3-Sitzer</v>
      </c>
      <c r="D185" s="593" t="s">
        <v>2741</v>
      </c>
      <c r="E185" s="593">
        <v>57</v>
      </c>
      <c r="F185" s="593" t="s">
        <v>2521</v>
      </c>
      <c r="G185" s="642">
        <v>21</v>
      </c>
      <c r="H185" s="593"/>
      <c r="I185" s="593">
        <v>0</v>
      </c>
      <c r="J185" s="595"/>
      <c r="K185" s="595"/>
      <c r="L185" s="595">
        <v>68760</v>
      </c>
      <c r="M185" s="596"/>
      <c r="N185" s="643" t="s">
        <v>3351</v>
      </c>
      <c r="O185" s="659"/>
      <c r="P185" s="601"/>
      <c r="Q185" s="603"/>
      <c r="R185" s="603"/>
      <c r="S185" s="603"/>
      <c r="T185" s="603"/>
      <c r="U185" s="603"/>
      <c r="V185" s="603"/>
      <c r="W185" s="603"/>
      <c r="X185" s="603"/>
      <c r="Y185" s="603"/>
      <c r="Z185" s="603"/>
      <c r="AA185" s="603"/>
      <c r="AB185" s="603"/>
      <c r="AC185" s="603"/>
      <c r="AD185" s="603"/>
      <c r="AE185" s="609"/>
      <c r="AF185" s="609"/>
      <c r="AG185" s="609"/>
      <c r="AH185" s="609"/>
      <c r="AI185" s="609"/>
      <c r="AJ185" s="609"/>
      <c r="AK185" s="611"/>
      <c r="AL185" s="611"/>
      <c r="AM185" s="611"/>
      <c r="AN185" s="119"/>
      <c r="AO185" s="119"/>
      <c r="AP185" s="119"/>
      <c r="AQ185" s="589"/>
      <c r="AR185" s="589"/>
      <c r="AS185" s="589"/>
      <c r="AT185" s="589"/>
      <c r="AU185" s="589"/>
      <c r="AV185" s="589" t="e">
        <f>SUM(#REF!)</f>
        <v>#REF!</v>
      </c>
      <c r="AW185" s="122"/>
      <c r="AX185" s="115"/>
      <c r="AY185" s="122"/>
      <c r="AZ185" s="122"/>
      <c r="BA185" s="122"/>
      <c r="BB185" s="122"/>
      <c r="BC185" s="122"/>
      <c r="BD185" s="122"/>
      <c r="BE185" s="122"/>
      <c r="BF185" s="122"/>
      <c r="BG185" s="122"/>
      <c r="BH185" s="122"/>
      <c r="BI185" s="122"/>
    </row>
    <row r="186" spans="1:64" ht="30.25" customHeight="1" x14ac:dyDescent="0.25">
      <c r="A186" s="593" t="s">
        <v>2594</v>
      </c>
      <c r="B186" s="593" t="s">
        <v>3529</v>
      </c>
      <c r="C186" s="594" t="str">
        <f t="shared" ref="C186:C235" si="41">CONCATENATE(A186," ",B186)</f>
        <v>RENAULT Master Z.E. Plattform L3 3-Sitzer</v>
      </c>
      <c r="D186" s="593" t="s">
        <v>2741</v>
      </c>
      <c r="E186" s="593">
        <v>57</v>
      </c>
      <c r="F186" s="593" t="s">
        <v>2521</v>
      </c>
      <c r="G186" s="642">
        <v>21</v>
      </c>
      <c r="H186" s="593"/>
      <c r="I186" s="593">
        <v>0</v>
      </c>
      <c r="J186" s="595"/>
      <c r="K186" s="595"/>
      <c r="L186" s="595">
        <v>63960</v>
      </c>
      <c r="M186" s="596"/>
      <c r="N186" s="643" t="s">
        <v>3351</v>
      </c>
      <c r="O186" s="576"/>
      <c r="P186" s="601"/>
      <c r="Q186" s="603"/>
      <c r="R186" s="603"/>
      <c r="S186" s="603"/>
      <c r="T186" s="603"/>
      <c r="U186" s="603"/>
      <c r="V186" s="603"/>
      <c r="W186" s="603"/>
      <c r="X186" s="603"/>
      <c r="Y186" s="603"/>
      <c r="Z186" s="603"/>
      <c r="AA186" s="603"/>
      <c r="AB186" s="603"/>
      <c r="AC186" s="603"/>
      <c r="AD186" s="603"/>
      <c r="AE186" s="609"/>
      <c r="AF186" s="609"/>
      <c r="AG186" s="609"/>
      <c r="AH186" s="609"/>
      <c r="AI186" s="609"/>
      <c r="AJ186" s="609"/>
      <c r="AK186" s="611"/>
      <c r="AL186" s="611"/>
      <c r="AM186" s="611"/>
      <c r="AN186" s="119"/>
      <c r="AO186" s="119"/>
      <c r="AP186" s="119"/>
      <c r="AQ186" s="589"/>
      <c r="AR186" s="589"/>
      <c r="AS186" s="589"/>
      <c r="AT186" s="589"/>
      <c r="AU186" s="589"/>
      <c r="AV186" s="589"/>
      <c r="AX186" s="115"/>
      <c r="BJ186" s="211"/>
      <c r="BK186" s="211"/>
      <c r="BL186" s="211"/>
    </row>
    <row r="187" spans="1:64" s="657" customFormat="1" ht="30.25" customHeight="1" x14ac:dyDescent="0.25">
      <c r="A187" s="593" t="s">
        <v>2594</v>
      </c>
      <c r="B187" s="593" t="s">
        <v>3529</v>
      </c>
      <c r="C187" s="594" t="str">
        <f t="shared" ref="C187:C188" si="42">CONCATENATE(A187," ",B187)</f>
        <v>RENAULT Master Z.E. Plattform L3 3-Sitzer</v>
      </c>
      <c r="D187" s="593" t="s">
        <v>2741</v>
      </c>
      <c r="E187" s="593">
        <v>57</v>
      </c>
      <c r="F187" s="593" t="s">
        <v>2521</v>
      </c>
      <c r="G187" s="642">
        <v>21</v>
      </c>
      <c r="H187" s="593"/>
      <c r="I187" s="593">
        <v>0</v>
      </c>
      <c r="J187" s="595"/>
      <c r="K187" s="595"/>
      <c r="L187" s="595">
        <v>69960</v>
      </c>
      <c r="M187" s="596"/>
      <c r="N187" s="643" t="s">
        <v>3351</v>
      </c>
      <c r="O187" s="659"/>
      <c r="P187" s="601"/>
      <c r="Q187" s="603"/>
      <c r="R187" s="603"/>
      <c r="S187" s="603"/>
      <c r="T187" s="603"/>
      <c r="U187" s="603"/>
      <c r="V187" s="603"/>
      <c r="W187" s="603"/>
      <c r="X187" s="603"/>
      <c r="Y187" s="603"/>
      <c r="Z187" s="603"/>
      <c r="AA187" s="603"/>
      <c r="AB187" s="603"/>
      <c r="AC187" s="603"/>
      <c r="AD187" s="603"/>
      <c r="AE187" s="609"/>
      <c r="AF187" s="609"/>
      <c r="AG187" s="609"/>
      <c r="AH187" s="609"/>
      <c r="AI187" s="609"/>
      <c r="AJ187" s="609"/>
      <c r="AK187" s="611"/>
      <c r="AL187" s="611"/>
      <c r="AM187" s="611"/>
      <c r="AN187" s="119"/>
      <c r="AO187" s="119"/>
      <c r="AP187" s="119"/>
      <c r="AQ187" s="589"/>
      <c r="AR187" s="589"/>
      <c r="AS187" s="589"/>
      <c r="AT187" s="589"/>
      <c r="AU187" s="589"/>
      <c r="AV187" s="589"/>
      <c r="AW187" s="122"/>
      <c r="AX187" s="115"/>
      <c r="AY187" s="122"/>
      <c r="AZ187" s="122"/>
      <c r="BA187" s="122"/>
      <c r="BB187" s="122"/>
      <c r="BC187" s="122"/>
      <c r="BD187" s="122"/>
      <c r="BE187" s="122"/>
      <c r="BF187" s="122"/>
      <c r="BG187" s="122"/>
      <c r="BH187" s="122"/>
      <c r="BI187" s="122"/>
    </row>
    <row r="188" spans="1:64" s="657" customFormat="1" ht="30.25" customHeight="1" x14ac:dyDescent="0.25">
      <c r="A188" s="593" t="s">
        <v>2594</v>
      </c>
      <c r="B188" s="593" t="s">
        <v>3530</v>
      </c>
      <c r="C188" s="594" t="str">
        <f t="shared" si="42"/>
        <v>RENAULT Master Z.E. Fahrgestell L2 3-Sitzer</v>
      </c>
      <c r="D188" s="593" t="s">
        <v>2741</v>
      </c>
      <c r="E188" s="593">
        <v>57</v>
      </c>
      <c r="F188" s="593" t="s">
        <v>2521</v>
      </c>
      <c r="G188" s="642">
        <v>21</v>
      </c>
      <c r="H188" s="593"/>
      <c r="I188" s="593">
        <v>0</v>
      </c>
      <c r="J188" s="595"/>
      <c r="K188" s="595"/>
      <c r="L188" s="595">
        <v>69780</v>
      </c>
      <c r="M188" s="596"/>
      <c r="N188" s="643" t="s">
        <v>3351</v>
      </c>
      <c r="O188" s="659"/>
      <c r="P188" s="601"/>
      <c r="Q188" s="603"/>
      <c r="R188" s="603"/>
      <c r="S188" s="603"/>
      <c r="T188" s="603"/>
      <c r="U188" s="603"/>
      <c r="V188" s="603"/>
      <c r="W188" s="603"/>
      <c r="X188" s="603"/>
      <c r="Y188" s="603"/>
      <c r="Z188" s="603"/>
      <c r="AA188" s="603"/>
      <c r="AB188" s="603"/>
      <c r="AC188" s="603"/>
      <c r="AD188" s="603"/>
      <c r="AE188" s="609"/>
      <c r="AF188" s="609"/>
      <c r="AG188" s="609"/>
      <c r="AH188" s="609"/>
      <c r="AI188" s="609"/>
      <c r="AJ188" s="609"/>
      <c r="AK188" s="611"/>
      <c r="AL188" s="611"/>
      <c r="AM188" s="611"/>
      <c r="AN188" s="119"/>
      <c r="AO188" s="119"/>
      <c r="AP188" s="119"/>
      <c r="AQ188" s="589"/>
      <c r="AR188" s="589"/>
      <c r="AS188" s="589"/>
      <c r="AT188" s="589"/>
      <c r="AU188" s="589"/>
      <c r="AV188" s="589" t="e">
        <f>SUM(#REF!)</f>
        <v>#REF!</v>
      </c>
      <c r="AW188" s="122"/>
      <c r="AX188" s="115"/>
      <c r="AY188" s="122"/>
      <c r="AZ188" s="122"/>
      <c r="BA188" s="122"/>
      <c r="BB188" s="122"/>
      <c r="BC188" s="122"/>
      <c r="BD188" s="122"/>
      <c r="BE188" s="122"/>
      <c r="BF188" s="122"/>
      <c r="BG188" s="122"/>
      <c r="BH188" s="122"/>
      <c r="BI188" s="122"/>
    </row>
    <row r="189" spans="1:64" s="657" customFormat="1" ht="30.25" customHeight="1" x14ac:dyDescent="0.25">
      <c r="A189" s="593" t="s">
        <v>2594</v>
      </c>
      <c r="B189" s="593" t="s">
        <v>3531</v>
      </c>
      <c r="C189" s="594" t="str">
        <f t="shared" ref="C189:C190" si="43">CONCATENATE(A189," ",B189)</f>
        <v>RENAULT Master Z.E. Fahrgestell L3 3-Sitzer</v>
      </c>
      <c r="D189" s="593" t="s">
        <v>2741</v>
      </c>
      <c r="E189" s="593">
        <v>57</v>
      </c>
      <c r="F189" s="593" t="s">
        <v>2521</v>
      </c>
      <c r="G189" s="642">
        <v>21</v>
      </c>
      <c r="H189" s="593"/>
      <c r="I189" s="593">
        <v>0</v>
      </c>
      <c r="J189" s="595"/>
      <c r="K189" s="595"/>
      <c r="L189" s="595">
        <v>70980</v>
      </c>
      <c r="M189" s="596"/>
      <c r="N189" s="643" t="s">
        <v>3351</v>
      </c>
      <c r="O189" s="659"/>
      <c r="P189" s="601"/>
      <c r="Q189" s="603"/>
      <c r="R189" s="603"/>
      <c r="S189" s="603"/>
      <c r="T189" s="603"/>
      <c r="U189" s="603"/>
      <c r="V189" s="603"/>
      <c r="W189" s="603"/>
      <c r="X189" s="603"/>
      <c r="Y189" s="603"/>
      <c r="Z189" s="603"/>
      <c r="AA189" s="603"/>
      <c r="AB189" s="603"/>
      <c r="AC189" s="603"/>
      <c r="AD189" s="603"/>
      <c r="AE189" s="609"/>
      <c r="AF189" s="609"/>
      <c r="AG189" s="609"/>
      <c r="AH189" s="609"/>
      <c r="AI189" s="609"/>
      <c r="AJ189" s="609"/>
      <c r="AK189" s="611"/>
      <c r="AL189" s="611"/>
      <c r="AM189" s="611"/>
      <c r="AN189" s="119"/>
      <c r="AO189" s="119"/>
      <c r="AP189" s="119"/>
      <c r="AQ189" s="589"/>
      <c r="AR189" s="589"/>
      <c r="AS189" s="589"/>
      <c r="AT189" s="589"/>
      <c r="AU189" s="589"/>
      <c r="AV189" s="589" t="e">
        <f>SUM(#REF!)</f>
        <v>#REF!</v>
      </c>
      <c r="AW189" s="122"/>
      <c r="AX189" s="115"/>
      <c r="AY189" s="122"/>
      <c r="AZ189" s="122"/>
      <c r="BA189" s="122"/>
      <c r="BB189" s="122"/>
      <c r="BC189" s="122"/>
      <c r="BD189" s="122"/>
      <c r="BE189" s="122"/>
      <c r="BF189" s="122"/>
      <c r="BG189" s="122"/>
      <c r="BH189" s="122"/>
      <c r="BI189" s="122"/>
    </row>
    <row r="190" spans="1:64" s="657" customFormat="1" ht="30.25" customHeight="1" x14ac:dyDescent="0.25">
      <c r="A190" s="593" t="s">
        <v>2594</v>
      </c>
      <c r="B190" s="593" t="s">
        <v>3532</v>
      </c>
      <c r="C190" s="594" t="str">
        <f t="shared" si="43"/>
        <v>RENAULT TWINGO Electric (LIFE)</v>
      </c>
      <c r="D190" s="593" t="s">
        <v>2741</v>
      </c>
      <c r="E190" s="593">
        <v>60</v>
      </c>
      <c r="F190" s="593" t="s">
        <v>2521</v>
      </c>
      <c r="G190" s="642">
        <v>16</v>
      </c>
      <c r="H190" s="593"/>
      <c r="I190" s="593">
        <v>0</v>
      </c>
      <c r="J190" s="595"/>
      <c r="K190" s="595"/>
      <c r="L190" s="595">
        <v>20490</v>
      </c>
      <c r="M190" s="596"/>
      <c r="N190" s="643" t="s">
        <v>2875</v>
      </c>
      <c r="O190" s="659"/>
      <c r="P190" s="601"/>
      <c r="Q190" s="603"/>
      <c r="R190" s="603"/>
      <c r="S190" s="603"/>
      <c r="T190" s="603"/>
      <c r="U190" s="603"/>
      <c r="V190" s="603"/>
      <c r="W190" s="603"/>
      <c r="X190" s="603"/>
      <c r="Y190" s="603"/>
      <c r="Z190" s="603"/>
      <c r="AA190" s="603"/>
      <c r="AB190" s="603"/>
      <c r="AC190" s="603"/>
      <c r="AD190" s="603"/>
      <c r="AE190" s="609"/>
      <c r="AF190" s="609"/>
      <c r="AG190" s="609"/>
      <c r="AH190" s="609"/>
      <c r="AI190" s="609"/>
      <c r="AJ190" s="609"/>
      <c r="AK190" s="611"/>
      <c r="AL190" s="611"/>
      <c r="AM190" s="611"/>
      <c r="AN190" s="119"/>
      <c r="AO190" s="119"/>
      <c r="AP190" s="119"/>
      <c r="AQ190" s="589"/>
      <c r="AR190" s="589"/>
      <c r="AS190" s="589"/>
      <c r="AT190" s="589"/>
      <c r="AU190" s="589"/>
      <c r="AV190" s="589"/>
      <c r="AW190" s="122"/>
      <c r="AX190" s="115"/>
      <c r="AY190" s="122"/>
      <c r="AZ190" s="122"/>
      <c r="BA190" s="122"/>
      <c r="BB190" s="122"/>
      <c r="BC190" s="122"/>
      <c r="BD190" s="122"/>
      <c r="BE190" s="122"/>
      <c r="BF190" s="122"/>
      <c r="BG190" s="122"/>
      <c r="BH190" s="122"/>
      <c r="BI190" s="122"/>
    </row>
    <row r="191" spans="1:64" s="657" customFormat="1" ht="30.25" customHeight="1" x14ac:dyDescent="0.25">
      <c r="A191" s="593" t="s">
        <v>2594</v>
      </c>
      <c r="B191" s="593" t="s">
        <v>3533</v>
      </c>
      <c r="C191" s="594" t="str">
        <f t="shared" ref="C191:C193" si="44">CONCATENATE(A191," ",B191)</f>
        <v>RENAULT TWINGO Electric (ZEN)</v>
      </c>
      <c r="D191" s="593" t="s">
        <v>2741</v>
      </c>
      <c r="E191" s="593">
        <v>60</v>
      </c>
      <c r="F191" s="593" t="s">
        <v>2521</v>
      </c>
      <c r="G191" s="642">
        <v>16</v>
      </c>
      <c r="H191" s="593"/>
      <c r="I191" s="593">
        <v>0</v>
      </c>
      <c r="J191" s="595"/>
      <c r="K191" s="595"/>
      <c r="L191" s="595">
        <v>21990</v>
      </c>
      <c r="M191" s="596"/>
      <c r="N191" s="643" t="s">
        <v>2875</v>
      </c>
      <c r="O191" s="659"/>
      <c r="P191" s="601"/>
      <c r="Q191" s="603"/>
      <c r="R191" s="603"/>
      <c r="S191" s="603"/>
      <c r="T191" s="603"/>
      <c r="U191" s="603"/>
      <c r="V191" s="603"/>
      <c r="W191" s="603"/>
      <c r="X191" s="603"/>
      <c r="Y191" s="603"/>
      <c r="Z191" s="603"/>
      <c r="AA191" s="603"/>
      <c r="AB191" s="603"/>
      <c r="AC191" s="603"/>
      <c r="AD191" s="603"/>
      <c r="AE191" s="609"/>
      <c r="AF191" s="609"/>
      <c r="AG191" s="609"/>
      <c r="AH191" s="609"/>
      <c r="AI191" s="609"/>
      <c r="AJ191" s="609"/>
      <c r="AK191" s="611"/>
      <c r="AL191" s="611"/>
      <c r="AM191" s="611"/>
      <c r="AN191" s="119"/>
      <c r="AO191" s="119"/>
      <c r="AP191" s="119"/>
      <c r="AQ191" s="589"/>
      <c r="AR191" s="589"/>
      <c r="AS191" s="589"/>
      <c r="AT191" s="589"/>
      <c r="AU191" s="589"/>
      <c r="AV191" s="589"/>
      <c r="AW191" s="122"/>
      <c r="AX191" s="115"/>
      <c r="AY191" s="122"/>
      <c r="AZ191" s="122"/>
      <c r="BA191" s="122"/>
      <c r="BB191" s="122"/>
      <c r="BC191" s="122"/>
      <c r="BD191" s="122"/>
      <c r="BE191" s="122"/>
      <c r="BF191" s="122"/>
      <c r="BG191" s="122"/>
      <c r="BH191" s="122"/>
      <c r="BI191" s="122"/>
    </row>
    <row r="192" spans="1:64" s="657" customFormat="1" ht="30.25" customHeight="1" x14ac:dyDescent="0.25">
      <c r="A192" s="593" t="s">
        <v>2594</v>
      </c>
      <c r="B192" s="593" t="s">
        <v>3534</v>
      </c>
      <c r="C192" s="594" t="str">
        <f t="shared" si="44"/>
        <v>RENAULT TWINGO Electric (INTENS)</v>
      </c>
      <c r="D192" s="593" t="s">
        <v>2741</v>
      </c>
      <c r="E192" s="593">
        <v>60</v>
      </c>
      <c r="F192" s="593" t="s">
        <v>2521</v>
      </c>
      <c r="G192" s="642">
        <v>16</v>
      </c>
      <c r="H192" s="593"/>
      <c r="I192" s="593">
        <v>0</v>
      </c>
      <c r="J192" s="595"/>
      <c r="K192" s="595"/>
      <c r="L192" s="595">
        <v>23290</v>
      </c>
      <c r="M192" s="596"/>
      <c r="N192" s="643" t="s">
        <v>2875</v>
      </c>
      <c r="O192" s="659"/>
      <c r="P192" s="601"/>
      <c r="Q192" s="603"/>
      <c r="R192" s="603"/>
      <c r="S192" s="603"/>
      <c r="T192" s="603"/>
      <c r="U192" s="603"/>
      <c r="V192" s="603"/>
      <c r="W192" s="603"/>
      <c r="X192" s="603"/>
      <c r="Y192" s="603"/>
      <c r="Z192" s="603"/>
      <c r="AA192" s="603"/>
      <c r="AB192" s="603"/>
      <c r="AC192" s="603"/>
      <c r="AD192" s="603"/>
      <c r="AE192" s="609"/>
      <c r="AF192" s="609"/>
      <c r="AG192" s="609"/>
      <c r="AH192" s="609"/>
      <c r="AI192" s="609"/>
      <c r="AJ192" s="609"/>
      <c r="AK192" s="611"/>
      <c r="AL192" s="611"/>
      <c r="AM192" s="611"/>
      <c r="AN192" s="119"/>
      <c r="AO192" s="119"/>
      <c r="AP192" s="119"/>
      <c r="AQ192" s="589"/>
      <c r="AR192" s="589"/>
      <c r="AS192" s="589"/>
      <c r="AT192" s="589"/>
      <c r="AU192" s="589"/>
      <c r="AV192" s="589"/>
      <c r="AW192" s="122"/>
      <c r="AX192" s="115"/>
      <c r="AY192" s="122"/>
      <c r="AZ192" s="122"/>
      <c r="BA192" s="122"/>
      <c r="BB192" s="122"/>
      <c r="BC192" s="122"/>
      <c r="BD192" s="122"/>
      <c r="BE192" s="122"/>
      <c r="BF192" s="122"/>
      <c r="BG192" s="122"/>
      <c r="BH192" s="122"/>
      <c r="BI192" s="122"/>
    </row>
    <row r="193" spans="1:64" s="657" customFormat="1" ht="30.25" customHeight="1" x14ac:dyDescent="0.25">
      <c r="A193" s="593" t="s">
        <v>2594</v>
      </c>
      <c r="B193" s="593" t="s">
        <v>3535</v>
      </c>
      <c r="C193" s="594" t="str">
        <f t="shared" si="44"/>
        <v>RENAULT TWINGO Electric (VIBES)</v>
      </c>
      <c r="D193" s="593" t="s">
        <v>2741</v>
      </c>
      <c r="E193" s="593">
        <v>60</v>
      </c>
      <c r="F193" s="593" t="s">
        <v>2521</v>
      </c>
      <c r="G193" s="642">
        <v>16</v>
      </c>
      <c r="H193" s="593"/>
      <c r="I193" s="593">
        <v>0</v>
      </c>
      <c r="J193" s="595"/>
      <c r="K193" s="595"/>
      <c r="L193" s="595">
        <v>24490</v>
      </c>
      <c r="M193" s="596"/>
      <c r="N193" s="643" t="s">
        <v>2875</v>
      </c>
      <c r="O193" s="659"/>
      <c r="P193" s="601"/>
      <c r="Q193" s="603"/>
      <c r="R193" s="603"/>
      <c r="S193" s="603"/>
      <c r="T193" s="603"/>
      <c r="U193" s="603"/>
      <c r="V193" s="603"/>
      <c r="W193" s="603"/>
      <c r="X193" s="603"/>
      <c r="Y193" s="603"/>
      <c r="Z193" s="603"/>
      <c r="AA193" s="603"/>
      <c r="AB193" s="603"/>
      <c r="AC193" s="603"/>
      <c r="AD193" s="603"/>
      <c r="AE193" s="609"/>
      <c r="AF193" s="609"/>
      <c r="AG193" s="609"/>
      <c r="AH193" s="609"/>
      <c r="AI193" s="609"/>
      <c r="AJ193" s="609"/>
      <c r="AK193" s="611"/>
      <c r="AL193" s="611"/>
      <c r="AM193" s="611"/>
      <c r="AN193" s="119"/>
      <c r="AO193" s="119"/>
      <c r="AP193" s="119"/>
      <c r="AQ193" s="589"/>
      <c r="AR193" s="589"/>
      <c r="AS193" s="589"/>
      <c r="AT193" s="589"/>
      <c r="AU193" s="589"/>
      <c r="AV193" s="589"/>
      <c r="AW193" s="122"/>
      <c r="AX193" s="115"/>
      <c r="AY193" s="122"/>
      <c r="AZ193" s="122"/>
      <c r="BA193" s="122"/>
      <c r="BB193" s="122"/>
      <c r="BC193" s="122"/>
      <c r="BD193" s="122"/>
      <c r="BE193" s="122"/>
      <c r="BF193" s="122"/>
      <c r="BG193" s="122"/>
      <c r="BH193" s="122"/>
      <c r="BI193" s="122"/>
    </row>
    <row r="194" spans="1:64" ht="30.25" customHeight="1" x14ac:dyDescent="0.25">
      <c r="A194" s="593" t="s">
        <v>3314</v>
      </c>
      <c r="B194" s="593" t="s">
        <v>3315</v>
      </c>
      <c r="C194" s="594" t="str">
        <f t="shared" si="41"/>
        <v>SEAT Mii electric</v>
      </c>
      <c r="D194" s="593" t="s">
        <v>2741</v>
      </c>
      <c r="E194" s="593">
        <v>61</v>
      </c>
      <c r="F194" s="593" t="s">
        <v>2521</v>
      </c>
      <c r="G194" s="642">
        <v>14.7</v>
      </c>
      <c r="H194" s="593"/>
      <c r="I194" s="593">
        <v>0</v>
      </c>
      <c r="J194" s="595"/>
      <c r="K194" s="595"/>
      <c r="L194" s="595">
        <v>21490</v>
      </c>
      <c r="M194" s="596"/>
      <c r="N194" s="643" t="s">
        <v>2875</v>
      </c>
      <c r="O194" s="576"/>
      <c r="P194" s="601"/>
      <c r="Q194" s="601"/>
      <c r="R194" s="603"/>
      <c r="S194" s="603"/>
      <c r="T194" s="603"/>
      <c r="U194" s="603"/>
      <c r="V194" s="603"/>
      <c r="W194" s="603"/>
      <c r="X194" s="603"/>
      <c r="Y194" s="603"/>
      <c r="Z194" s="603"/>
      <c r="AA194" s="603"/>
      <c r="AB194" s="603"/>
      <c r="AC194" s="603"/>
      <c r="AD194" s="603"/>
      <c r="AE194" s="609"/>
      <c r="AF194" s="609"/>
      <c r="AG194" s="609"/>
      <c r="AH194" s="609"/>
      <c r="AI194" s="609"/>
      <c r="AJ194" s="609"/>
      <c r="AK194" s="611"/>
      <c r="AL194" s="611"/>
      <c r="AM194" s="611"/>
      <c r="AN194" s="119"/>
      <c r="AO194" s="119"/>
      <c r="AP194" s="119"/>
      <c r="AQ194" s="589"/>
      <c r="AR194" s="589"/>
      <c r="AS194" s="589"/>
      <c r="AT194" s="589"/>
      <c r="AU194" s="589"/>
      <c r="AV194" s="589"/>
      <c r="AX194" s="115"/>
      <c r="BJ194" s="211"/>
      <c r="BK194" s="211"/>
      <c r="BL194" s="211"/>
    </row>
    <row r="195" spans="1:64" ht="30.25" customHeight="1" x14ac:dyDescent="0.25">
      <c r="A195" s="593" t="s">
        <v>3314</v>
      </c>
      <c r="B195" s="593" t="s">
        <v>3316</v>
      </c>
      <c r="C195" s="594" t="str">
        <f t="shared" si="41"/>
        <v>SEAT Mii electric PLUS</v>
      </c>
      <c r="D195" s="593" t="s">
        <v>2741</v>
      </c>
      <c r="E195" s="593">
        <v>61</v>
      </c>
      <c r="F195" s="593" t="s">
        <v>2521</v>
      </c>
      <c r="G195" s="642">
        <v>14.8</v>
      </c>
      <c r="H195" s="593"/>
      <c r="I195" s="593">
        <v>0</v>
      </c>
      <c r="J195" s="595"/>
      <c r="K195" s="595"/>
      <c r="L195" s="595">
        <v>22490</v>
      </c>
      <c r="M195" s="596"/>
      <c r="N195" s="643" t="s">
        <v>2875</v>
      </c>
      <c r="O195" s="576" t="s">
        <v>2973</v>
      </c>
      <c r="P195" s="603"/>
      <c r="Q195" s="603"/>
      <c r="R195" s="603"/>
      <c r="S195" s="603"/>
      <c r="T195" s="603"/>
      <c r="U195" s="603"/>
      <c r="V195" s="603"/>
      <c r="W195" s="603"/>
      <c r="X195" s="603"/>
      <c r="Y195" s="603"/>
      <c r="Z195" s="603"/>
      <c r="AA195" s="603"/>
      <c r="AB195" s="603"/>
      <c r="AC195" s="603"/>
      <c r="AD195" s="603"/>
      <c r="AE195" s="609"/>
      <c r="AF195" s="609"/>
      <c r="AG195" s="609"/>
      <c r="AH195" s="609"/>
      <c r="AI195" s="609"/>
      <c r="AJ195" s="609"/>
      <c r="AK195" s="611"/>
      <c r="AL195" s="611"/>
      <c r="AM195" s="611"/>
      <c r="AN195" s="119"/>
      <c r="AO195" s="119"/>
      <c r="AP195" s="119"/>
      <c r="AQ195" s="589"/>
      <c r="AR195" s="589"/>
      <c r="AS195" s="589"/>
      <c r="AT195" s="589"/>
      <c r="AU195" s="589"/>
      <c r="AV195" s="589"/>
      <c r="AX195" s="115"/>
      <c r="BJ195" s="211"/>
      <c r="BK195" s="211"/>
      <c r="BL195" s="211"/>
    </row>
    <row r="196" spans="1:64" ht="30.25" customHeight="1" x14ac:dyDescent="0.25">
      <c r="A196" s="593" t="s">
        <v>3304</v>
      </c>
      <c r="B196" s="593" t="s">
        <v>3383</v>
      </c>
      <c r="C196" s="594" t="str">
        <f t="shared" si="41"/>
        <v>SKODA CITIGOe iV</v>
      </c>
      <c r="D196" s="593" t="s">
        <v>2741</v>
      </c>
      <c r="E196" s="593">
        <v>61</v>
      </c>
      <c r="F196" s="593" t="s">
        <v>2521</v>
      </c>
      <c r="G196" s="642">
        <v>14.5</v>
      </c>
      <c r="H196" s="593"/>
      <c r="I196" s="593">
        <v>0</v>
      </c>
      <c r="J196" s="595"/>
      <c r="K196" s="595"/>
      <c r="L196" s="595">
        <v>21350</v>
      </c>
      <c r="M196" s="596"/>
      <c r="N196" s="643" t="s">
        <v>2875</v>
      </c>
      <c r="O196" s="576" t="s">
        <v>2973</v>
      </c>
      <c r="P196" s="603"/>
      <c r="Q196" s="603"/>
      <c r="R196" s="609"/>
      <c r="S196" s="609"/>
      <c r="T196" s="609"/>
      <c r="U196" s="609"/>
      <c r="V196" s="609"/>
      <c r="W196" s="609"/>
      <c r="X196" s="609"/>
      <c r="Y196" s="609"/>
      <c r="Z196" s="609"/>
      <c r="AA196" s="609"/>
      <c r="AB196" s="609"/>
      <c r="AC196" s="609"/>
      <c r="AD196" s="610"/>
      <c r="AE196" s="610"/>
      <c r="AF196" s="610"/>
      <c r="AG196" s="609"/>
      <c r="AH196" s="609"/>
      <c r="AI196" s="609"/>
      <c r="AJ196" s="609"/>
      <c r="AK196" s="611"/>
      <c r="AL196" s="611"/>
      <c r="AM196" s="611"/>
      <c r="AN196" s="611"/>
      <c r="AO196" s="119"/>
      <c r="AP196" s="585"/>
      <c r="AQ196" s="172"/>
      <c r="AR196" s="172"/>
      <c r="AS196" s="172"/>
      <c r="AT196" s="172"/>
      <c r="AU196" s="172"/>
      <c r="AV196" s="589"/>
      <c r="AW196" s="115"/>
      <c r="AX196" s="115"/>
      <c r="BJ196" s="211"/>
      <c r="BK196" s="211"/>
      <c r="BL196" s="211"/>
    </row>
    <row r="197" spans="1:64" s="657" customFormat="1" ht="30.25" customHeight="1" x14ac:dyDescent="0.25">
      <c r="A197" s="593" t="s">
        <v>3304</v>
      </c>
      <c r="B197" s="593" t="s">
        <v>3536</v>
      </c>
      <c r="C197" s="594" t="str">
        <f t="shared" si="41"/>
        <v>SKODA Enyaq iV 60</v>
      </c>
      <c r="D197" s="593" t="s">
        <v>2741</v>
      </c>
      <c r="E197" s="593">
        <v>132</v>
      </c>
      <c r="F197" s="593" t="s">
        <v>2521</v>
      </c>
      <c r="G197" s="642">
        <v>15.7</v>
      </c>
      <c r="H197" s="593"/>
      <c r="I197" s="593">
        <v>0</v>
      </c>
      <c r="J197" s="595"/>
      <c r="K197" s="595"/>
      <c r="L197" s="595">
        <v>39230</v>
      </c>
      <c r="M197" s="596"/>
      <c r="N197" s="643" t="s">
        <v>2875</v>
      </c>
      <c r="O197" s="659"/>
      <c r="P197" s="603"/>
      <c r="Q197" s="603"/>
      <c r="R197" s="609"/>
      <c r="S197" s="609"/>
      <c r="T197" s="609"/>
      <c r="U197" s="609"/>
      <c r="V197" s="609"/>
      <c r="W197" s="609"/>
      <c r="X197" s="609"/>
      <c r="Y197" s="609"/>
      <c r="Z197" s="609"/>
      <c r="AA197" s="609"/>
      <c r="AB197" s="609"/>
      <c r="AC197" s="609"/>
      <c r="AD197" s="610"/>
      <c r="AE197" s="610"/>
      <c r="AF197" s="610"/>
      <c r="AG197" s="609"/>
      <c r="AH197" s="609"/>
      <c r="AI197" s="609"/>
      <c r="AJ197" s="609"/>
      <c r="AK197" s="611"/>
      <c r="AL197" s="611"/>
      <c r="AM197" s="611"/>
      <c r="AN197" s="611"/>
      <c r="AO197" s="119"/>
      <c r="AP197" s="585"/>
      <c r="AQ197" s="172"/>
      <c r="AR197" s="172"/>
      <c r="AS197" s="172"/>
      <c r="AT197" s="172"/>
      <c r="AU197" s="172"/>
      <c r="AV197" s="589"/>
      <c r="AW197" s="115"/>
      <c r="AX197" s="115"/>
      <c r="AY197" s="122"/>
      <c r="AZ197" s="122"/>
      <c r="BA197" s="122"/>
      <c r="BB197" s="122"/>
      <c r="BC197" s="122"/>
      <c r="BD197" s="122"/>
      <c r="BE197" s="122"/>
      <c r="BF197" s="122"/>
      <c r="BG197" s="122"/>
      <c r="BH197" s="122"/>
      <c r="BI197" s="122"/>
    </row>
    <row r="198" spans="1:64" s="657" customFormat="1" ht="30.25" customHeight="1" x14ac:dyDescent="0.25">
      <c r="A198" s="593" t="s">
        <v>3304</v>
      </c>
      <c r="B198" s="593" t="s">
        <v>3537</v>
      </c>
      <c r="C198" s="594" t="str">
        <f t="shared" ref="C198" si="45">CONCATENATE(A198," ",B198)</f>
        <v>SKODA Enyaq iV 80</v>
      </c>
      <c r="D198" s="593" t="s">
        <v>2741</v>
      </c>
      <c r="E198" s="593">
        <v>150</v>
      </c>
      <c r="F198" s="593" t="s">
        <v>2521</v>
      </c>
      <c r="G198" s="642">
        <v>16.7</v>
      </c>
      <c r="H198" s="593"/>
      <c r="I198" s="593">
        <v>0</v>
      </c>
      <c r="J198" s="595"/>
      <c r="K198" s="595"/>
      <c r="L198" s="595">
        <v>45540</v>
      </c>
      <c r="M198" s="596"/>
      <c r="N198" s="643" t="s">
        <v>2875</v>
      </c>
      <c r="O198" s="659"/>
      <c r="P198" s="603"/>
      <c r="Q198" s="603"/>
      <c r="R198" s="609"/>
      <c r="S198" s="609"/>
      <c r="T198" s="609"/>
      <c r="U198" s="609"/>
      <c r="V198" s="609"/>
      <c r="W198" s="609"/>
      <c r="X198" s="609"/>
      <c r="Y198" s="609"/>
      <c r="Z198" s="609"/>
      <c r="AA198" s="609"/>
      <c r="AB198" s="609"/>
      <c r="AC198" s="609"/>
      <c r="AD198" s="610"/>
      <c r="AE198" s="610"/>
      <c r="AF198" s="610"/>
      <c r="AG198" s="609"/>
      <c r="AH198" s="609"/>
      <c r="AI198" s="609"/>
      <c r="AJ198" s="609"/>
      <c r="AK198" s="611"/>
      <c r="AL198" s="611"/>
      <c r="AM198" s="611"/>
      <c r="AN198" s="611"/>
      <c r="AO198" s="119"/>
      <c r="AP198" s="585"/>
      <c r="AQ198" s="172"/>
      <c r="AR198" s="172"/>
      <c r="AS198" s="172"/>
      <c r="AT198" s="172"/>
      <c r="AU198" s="172"/>
      <c r="AV198" s="589"/>
      <c r="AW198" s="115"/>
      <c r="AX198" s="115"/>
      <c r="AY198" s="122"/>
      <c r="AZ198" s="122"/>
      <c r="BA198" s="122"/>
      <c r="BB198" s="122"/>
      <c r="BC198" s="122"/>
      <c r="BD198" s="122"/>
      <c r="BE198" s="122"/>
      <c r="BF198" s="122"/>
      <c r="BG198" s="122"/>
      <c r="BH198" s="122"/>
      <c r="BI198" s="122"/>
    </row>
    <row r="199" spans="1:64" ht="30.25" customHeight="1" x14ac:dyDescent="0.25">
      <c r="A199" s="593" t="s">
        <v>2987</v>
      </c>
      <c r="B199" s="593" t="s">
        <v>3295</v>
      </c>
      <c r="C199" s="594" t="str">
        <f t="shared" si="41"/>
        <v>smart EQ fortwo</v>
      </c>
      <c r="D199" s="593" t="s">
        <v>2741</v>
      </c>
      <c r="E199" s="593">
        <v>60</v>
      </c>
      <c r="F199" s="593" t="s">
        <v>2521</v>
      </c>
      <c r="G199" s="642">
        <v>16.7</v>
      </c>
      <c r="H199" s="593"/>
      <c r="I199" s="593">
        <v>0</v>
      </c>
      <c r="J199" s="595" t="s">
        <v>801</v>
      </c>
      <c r="K199" s="595">
        <v>0</v>
      </c>
      <c r="L199" s="595">
        <v>25510</v>
      </c>
      <c r="M199" s="596"/>
      <c r="N199" s="643" t="s">
        <v>2878</v>
      </c>
      <c r="O199" s="576" t="s">
        <v>2973</v>
      </c>
      <c r="P199" s="603"/>
      <c r="Q199" s="603"/>
      <c r="R199" s="609"/>
      <c r="S199" s="609"/>
      <c r="T199" s="609"/>
      <c r="U199" s="609"/>
      <c r="V199" s="609"/>
      <c r="W199" s="609"/>
      <c r="X199" s="609"/>
      <c r="Y199" s="609"/>
      <c r="Z199" s="609"/>
      <c r="AA199" s="609"/>
      <c r="AB199" s="609"/>
      <c r="AC199" s="609"/>
      <c r="AD199" s="610"/>
      <c r="AE199" s="610"/>
      <c r="AF199" s="610"/>
      <c r="AG199" s="609"/>
      <c r="AH199" s="609"/>
      <c r="AI199" s="609"/>
      <c r="AJ199" s="609"/>
      <c r="AK199" s="611"/>
      <c r="AL199" s="611"/>
      <c r="AM199" s="611"/>
      <c r="AN199" s="208">
        <f>VLOOKUP(AO199,AP199:AU202,AV211+1,TRUE)</f>
        <v>106</v>
      </c>
      <c r="AO199" s="119">
        <f>IF(Eingabe!$G$14&lt;='Daten-Elektrofahrzeug'!AP200,'Daten-Elektrofahrzeug'!AP200,IF(Eingabe!$G$14&lt;='Daten-Elektrofahrzeug'!AP201,'Daten-Elektrofahrzeug'!AP201,'Daten-Elektrofahrzeug'!AP202))</f>
        <v>36</v>
      </c>
      <c r="AP199" s="586" t="s">
        <v>2528</v>
      </c>
      <c r="AQ199" s="587">
        <v>7500</v>
      </c>
      <c r="AR199" s="587">
        <v>10000</v>
      </c>
      <c r="AS199" s="587">
        <v>12500</v>
      </c>
      <c r="AT199" s="587">
        <v>15000</v>
      </c>
      <c r="AU199" s="115"/>
      <c r="AV199" s="569"/>
      <c r="BJ199" s="211"/>
      <c r="BK199" s="211"/>
      <c r="BL199" s="211"/>
    </row>
    <row r="200" spans="1:64" ht="30.25" customHeight="1" x14ac:dyDescent="0.25">
      <c r="A200" s="593" t="s">
        <v>2987</v>
      </c>
      <c r="B200" s="593" t="s">
        <v>3331</v>
      </c>
      <c r="C200" s="594" t="str">
        <f t="shared" si="41"/>
        <v>smart EQ fortwo cabrio</v>
      </c>
      <c r="D200" s="593" t="s">
        <v>2741</v>
      </c>
      <c r="E200" s="593">
        <v>60</v>
      </c>
      <c r="F200" s="593" t="s">
        <v>2521</v>
      </c>
      <c r="G200" s="642">
        <v>17</v>
      </c>
      <c r="H200" s="593"/>
      <c r="I200" s="593">
        <v>0</v>
      </c>
      <c r="J200" s="595"/>
      <c r="K200" s="595"/>
      <c r="L200" s="595">
        <v>28820</v>
      </c>
      <c r="M200" s="596"/>
      <c r="N200" s="643" t="s">
        <v>2878</v>
      </c>
      <c r="O200" s="576"/>
      <c r="P200" s="603"/>
      <c r="Q200" s="603"/>
      <c r="R200" s="609"/>
      <c r="S200" s="609"/>
      <c r="T200" s="609"/>
      <c r="U200" s="609"/>
      <c r="V200" s="609"/>
      <c r="W200" s="609"/>
      <c r="X200" s="609"/>
      <c r="Y200" s="609"/>
      <c r="Z200" s="609"/>
      <c r="AA200" s="609"/>
      <c r="AB200" s="609"/>
      <c r="AC200" s="609"/>
      <c r="AD200" s="610"/>
      <c r="AE200" s="610"/>
      <c r="AF200" s="610"/>
      <c r="AG200" s="609"/>
      <c r="AH200" s="609"/>
      <c r="AI200" s="609"/>
      <c r="AJ200" s="609"/>
      <c r="AK200" s="611"/>
      <c r="AL200" s="611"/>
      <c r="AM200" s="611"/>
      <c r="AN200" s="611"/>
      <c r="AO200" s="119"/>
      <c r="AP200" s="587">
        <v>12</v>
      </c>
      <c r="AQ200" s="588">
        <v>93</v>
      </c>
      <c r="AR200" s="588">
        <v>96</v>
      </c>
      <c r="AS200" s="588">
        <v>110</v>
      </c>
      <c r="AT200" s="588">
        <v>126</v>
      </c>
      <c r="AU200" s="115"/>
      <c r="AV200" s="569"/>
      <c r="BJ200" s="211"/>
      <c r="BK200" s="211"/>
      <c r="BL200" s="211"/>
    </row>
    <row r="201" spans="1:64" ht="30.25" customHeight="1" x14ac:dyDescent="0.25">
      <c r="A201" s="593" t="s">
        <v>2987</v>
      </c>
      <c r="B201" s="593" t="s">
        <v>3296</v>
      </c>
      <c r="C201" s="594" t="str">
        <f t="shared" si="41"/>
        <v>smart EQ forfour</v>
      </c>
      <c r="D201" s="593" t="s">
        <v>2741</v>
      </c>
      <c r="E201" s="593">
        <v>60</v>
      </c>
      <c r="F201" s="593" t="s">
        <v>2521</v>
      </c>
      <c r="G201" s="642">
        <v>17.3</v>
      </c>
      <c r="H201" s="593"/>
      <c r="I201" s="593">
        <v>0</v>
      </c>
      <c r="J201" s="595" t="s">
        <v>801</v>
      </c>
      <c r="K201" s="595">
        <v>0</v>
      </c>
      <c r="L201" s="595">
        <v>26140</v>
      </c>
      <c r="M201" s="596"/>
      <c r="N201" s="643" t="s">
        <v>2878</v>
      </c>
      <c r="O201" s="576"/>
      <c r="P201" s="603"/>
      <c r="Q201" s="603"/>
      <c r="R201" s="609"/>
      <c r="S201" s="609"/>
      <c r="T201" s="609"/>
      <c r="U201" s="609"/>
      <c r="V201" s="609"/>
      <c r="W201" s="609"/>
      <c r="X201" s="609"/>
      <c r="Y201" s="609"/>
      <c r="Z201" s="609"/>
      <c r="AA201" s="609"/>
      <c r="AB201" s="609"/>
      <c r="AC201" s="609"/>
      <c r="AD201" s="610"/>
      <c r="AE201" s="610"/>
      <c r="AF201" s="610"/>
      <c r="AG201" s="609"/>
      <c r="AH201" s="609"/>
      <c r="AI201" s="609"/>
      <c r="AJ201" s="609"/>
      <c r="AK201" s="609"/>
      <c r="AL201" s="611"/>
      <c r="AM201" s="611"/>
      <c r="AN201" s="611"/>
      <c r="AO201" s="119"/>
      <c r="AP201" s="587">
        <v>24</v>
      </c>
      <c r="AQ201" s="588">
        <v>83</v>
      </c>
      <c r="AR201" s="588">
        <v>86</v>
      </c>
      <c r="AS201" s="588">
        <v>100</v>
      </c>
      <c r="AT201" s="588">
        <v>116</v>
      </c>
      <c r="AU201" s="115"/>
      <c r="AV201" s="569"/>
      <c r="BJ201" s="211"/>
      <c r="BK201" s="211"/>
      <c r="BL201" s="211"/>
    </row>
    <row r="202" spans="1:64" ht="30.25" customHeight="1" x14ac:dyDescent="0.25">
      <c r="A202" s="593" t="s">
        <v>2604</v>
      </c>
      <c r="B202" s="593" t="s">
        <v>3357</v>
      </c>
      <c r="C202" s="594" t="str">
        <f t="shared" si="41"/>
        <v>TESLA Model 3 Maximale Reichweite</v>
      </c>
      <c r="D202" s="593" t="s">
        <v>2741</v>
      </c>
      <c r="E202" s="593" t="s">
        <v>3559</v>
      </c>
      <c r="F202" s="593" t="s">
        <v>2521</v>
      </c>
      <c r="G202" s="642"/>
      <c r="H202" s="593"/>
      <c r="I202" s="593">
        <v>0</v>
      </c>
      <c r="J202" s="595"/>
      <c r="K202" s="595"/>
      <c r="L202" s="595">
        <v>46100</v>
      </c>
      <c r="M202" s="596"/>
      <c r="N202" s="643" t="s">
        <v>801</v>
      </c>
      <c r="O202" s="576"/>
      <c r="P202" s="603"/>
      <c r="Q202" s="603"/>
      <c r="R202" s="609"/>
      <c r="S202" s="609"/>
      <c r="T202" s="609"/>
      <c r="U202" s="609"/>
      <c r="V202" s="609"/>
      <c r="W202" s="609"/>
      <c r="X202" s="609"/>
      <c r="Y202" s="609"/>
      <c r="Z202" s="609"/>
      <c r="AA202" s="609"/>
      <c r="AB202" s="609"/>
      <c r="AC202" s="609"/>
      <c r="AD202" s="610"/>
      <c r="AE202" s="610"/>
      <c r="AF202" s="610"/>
      <c r="AG202" s="609"/>
      <c r="AH202" s="609"/>
      <c r="AI202" s="609"/>
      <c r="AJ202" s="609"/>
      <c r="AK202" s="609"/>
      <c r="AL202" s="609"/>
      <c r="AM202" s="609"/>
      <c r="AN202" s="611"/>
      <c r="AO202" s="119"/>
      <c r="AP202" s="587">
        <v>36</v>
      </c>
      <c r="AQ202" s="588">
        <v>73</v>
      </c>
      <c r="AR202" s="588">
        <v>76</v>
      </c>
      <c r="AS202" s="588">
        <v>90</v>
      </c>
      <c r="AT202" s="588">
        <v>106</v>
      </c>
      <c r="AU202" s="115"/>
      <c r="AV202" s="569"/>
      <c r="BJ202" s="211"/>
      <c r="BK202" s="211"/>
      <c r="BL202" s="211"/>
    </row>
    <row r="203" spans="1:64" ht="30.25" customHeight="1" x14ac:dyDescent="0.25">
      <c r="A203" s="593" t="s">
        <v>2604</v>
      </c>
      <c r="B203" s="593" t="s">
        <v>3294</v>
      </c>
      <c r="C203" s="594" t="str">
        <f t="shared" si="41"/>
        <v>TESLA Model 3 Performance</v>
      </c>
      <c r="D203" s="593" t="s">
        <v>2741</v>
      </c>
      <c r="E203" s="593">
        <v>377</v>
      </c>
      <c r="F203" s="593" t="s">
        <v>2521</v>
      </c>
      <c r="G203" s="642"/>
      <c r="H203" s="593"/>
      <c r="I203" s="593">
        <v>0</v>
      </c>
      <c r="J203" s="595"/>
      <c r="K203" s="595"/>
      <c r="L203" s="595">
        <v>59990</v>
      </c>
      <c r="M203" s="596"/>
      <c r="N203" s="643" t="s">
        <v>801</v>
      </c>
      <c r="O203" s="576" t="s">
        <v>2973</v>
      </c>
      <c r="P203" s="603"/>
      <c r="Q203" s="603"/>
      <c r="R203" s="609"/>
      <c r="S203" s="609"/>
      <c r="T203" s="609"/>
      <c r="U203" s="609"/>
      <c r="V203" s="609"/>
      <c r="W203" s="609"/>
      <c r="X203" s="609"/>
      <c r="Y203" s="609"/>
      <c r="Z203" s="609"/>
      <c r="AA203" s="609"/>
      <c r="AB203" s="609"/>
      <c r="AC203" s="609"/>
      <c r="AD203" s="610"/>
      <c r="AE203" s="610"/>
      <c r="AF203" s="610"/>
      <c r="AG203" s="609"/>
      <c r="AH203" s="609"/>
      <c r="AI203" s="609"/>
      <c r="AJ203" s="609"/>
      <c r="AK203" s="609"/>
      <c r="AL203" s="609"/>
      <c r="AM203" s="609"/>
      <c r="AN203" s="611"/>
      <c r="AO203" s="119"/>
      <c r="AP203" s="119"/>
      <c r="AQ203" s="589" t="b">
        <f>IF(AND(Eingabe!$G$7&lt;=AQ199),AQ199)</f>
        <v>0</v>
      </c>
      <c r="AR203" s="589" t="b">
        <f>IF(AND(Eingabe!$G$7&lt;=AR199,Eingabe!$G$7&gt;AQ199),AR199)</f>
        <v>0</v>
      </c>
      <c r="AS203" s="589" t="b">
        <f>IF(AND(Eingabe!$G$7&lt;=AS199,Eingabe!$G$7&gt;AR199),AS199)</f>
        <v>0</v>
      </c>
      <c r="AT203" s="589">
        <f>IF(AND(Eingabe!$G$7&lt;=AT199,Eingabe!$G$7&gt;AS199),AT199)</f>
        <v>15000</v>
      </c>
      <c r="AU203" s="589" t="b">
        <f>IF(AND(Eingabe!$G$7&lt;=AU199,Eingabe!$G$7&gt;AT199),AU199)</f>
        <v>0</v>
      </c>
      <c r="AV203" s="569"/>
      <c r="AX203" s="115"/>
      <c r="BJ203" s="211"/>
      <c r="BK203" s="211"/>
      <c r="BL203" s="211"/>
    </row>
    <row r="204" spans="1:64" ht="30.25" customHeight="1" x14ac:dyDescent="0.25">
      <c r="A204" s="593" t="s">
        <v>2604</v>
      </c>
      <c r="B204" s="593" t="s">
        <v>3358</v>
      </c>
      <c r="C204" s="594" t="str">
        <f t="shared" si="41"/>
        <v>TESLA Model 3 Standard-Reichweite Plus</v>
      </c>
      <c r="D204" s="593" t="s">
        <v>2741</v>
      </c>
      <c r="E204" s="593">
        <v>239</v>
      </c>
      <c r="F204" s="593" t="s">
        <v>2521</v>
      </c>
      <c r="G204" s="642"/>
      <c r="H204" s="593"/>
      <c r="I204" s="593">
        <v>0</v>
      </c>
      <c r="J204" s="595"/>
      <c r="K204" s="595"/>
      <c r="L204" s="595">
        <v>54990</v>
      </c>
      <c r="M204" s="596"/>
      <c r="N204" s="643" t="s">
        <v>801</v>
      </c>
      <c r="O204" s="576"/>
      <c r="P204" s="603"/>
      <c r="Q204" s="603"/>
      <c r="R204" s="609"/>
      <c r="S204" s="609"/>
      <c r="T204" s="609"/>
      <c r="U204" s="609"/>
      <c r="V204" s="609"/>
      <c r="W204" s="609"/>
      <c r="X204" s="609"/>
      <c r="Y204" s="609"/>
      <c r="Z204" s="609"/>
      <c r="AA204" s="609"/>
      <c r="AB204" s="609"/>
      <c r="AC204" s="609"/>
      <c r="AD204" s="610"/>
      <c r="AE204" s="610"/>
      <c r="AF204" s="610"/>
      <c r="AG204" s="609"/>
      <c r="AH204" s="609"/>
      <c r="AI204" s="609"/>
      <c r="AJ204" s="609"/>
      <c r="AK204" s="609"/>
      <c r="AL204" s="609"/>
      <c r="AM204" s="609"/>
      <c r="AN204" s="611"/>
      <c r="AO204" s="119"/>
      <c r="AP204" s="119"/>
      <c r="AQ204" s="114">
        <f>IF(AQ203=AQ199,1,0)</f>
        <v>0</v>
      </c>
      <c r="AR204" s="114">
        <f>IF(AR203=AR199,2,0)</f>
        <v>0</v>
      </c>
      <c r="AS204" s="114">
        <f>IF(AS203=AS199,3,0)</f>
        <v>0</v>
      </c>
      <c r="AT204" s="114">
        <f>IF(AT203=AT199,4,0)</f>
        <v>4</v>
      </c>
      <c r="AU204" s="114"/>
      <c r="AX204" s="120"/>
      <c r="AY204" s="115"/>
      <c r="BJ204" s="211"/>
      <c r="BK204" s="211"/>
      <c r="BL204" s="211"/>
    </row>
    <row r="205" spans="1:64" ht="30.25" customHeight="1" x14ac:dyDescent="0.25">
      <c r="A205" s="593" t="s">
        <v>2604</v>
      </c>
      <c r="B205" s="593" t="s">
        <v>3356</v>
      </c>
      <c r="C205" s="594" t="str">
        <f t="shared" si="41"/>
        <v>TESLA Model S Maximale Reichweite</v>
      </c>
      <c r="D205" s="593" t="s">
        <v>2741</v>
      </c>
      <c r="E205" s="593">
        <v>415</v>
      </c>
      <c r="F205" s="593" t="s">
        <v>2521</v>
      </c>
      <c r="G205" s="642"/>
      <c r="H205" s="593"/>
      <c r="I205" s="593">
        <v>0</v>
      </c>
      <c r="J205" s="595"/>
      <c r="K205" s="595"/>
      <c r="L205" s="595">
        <v>89990</v>
      </c>
      <c r="M205" s="596"/>
      <c r="N205" s="643" t="s">
        <v>801</v>
      </c>
      <c r="O205" s="576"/>
      <c r="P205" s="603"/>
      <c r="Q205" s="603"/>
      <c r="R205" s="609"/>
      <c r="S205" s="609"/>
      <c r="T205" s="609"/>
      <c r="U205" s="609"/>
      <c r="V205" s="609"/>
      <c r="W205" s="609"/>
      <c r="X205" s="609"/>
      <c r="Y205" s="609"/>
      <c r="Z205" s="609"/>
      <c r="AA205" s="609"/>
      <c r="AB205" s="609"/>
      <c r="AC205" s="609"/>
      <c r="AD205" s="610"/>
      <c r="AE205" s="610"/>
      <c r="AF205" s="610"/>
      <c r="AG205" s="609"/>
      <c r="AH205" s="609"/>
      <c r="AI205" s="609"/>
      <c r="AJ205" s="609"/>
      <c r="AK205" s="609"/>
      <c r="AL205" s="609"/>
      <c r="AM205" s="609"/>
      <c r="AN205" s="611"/>
      <c r="AO205" s="119"/>
      <c r="AP205" s="114"/>
      <c r="AQ205" s="114"/>
      <c r="AR205" s="115"/>
      <c r="AS205" s="115"/>
      <c r="AT205" s="115"/>
      <c r="AU205" s="115"/>
      <c r="AV205" s="115"/>
      <c r="AW205" s="115"/>
      <c r="AX205" s="115"/>
    </row>
    <row r="206" spans="1:64" ht="30.25" customHeight="1" x14ac:dyDescent="0.25">
      <c r="A206" s="593" t="s">
        <v>2604</v>
      </c>
      <c r="B206" s="593" t="s">
        <v>3560</v>
      </c>
      <c r="C206" s="594" t="str">
        <f t="shared" si="41"/>
        <v>TESLA Model S Plaid</v>
      </c>
      <c r="D206" s="593" t="s">
        <v>2741</v>
      </c>
      <c r="E206" s="593">
        <v>580</v>
      </c>
      <c r="F206" s="593" t="s">
        <v>2521</v>
      </c>
      <c r="G206" s="642"/>
      <c r="H206" s="593"/>
      <c r="I206" s="593">
        <v>0</v>
      </c>
      <c r="J206" s="595"/>
      <c r="K206" s="595"/>
      <c r="L206" s="595">
        <v>119990</v>
      </c>
      <c r="M206" s="596"/>
      <c r="N206" s="643" t="s">
        <v>801</v>
      </c>
      <c r="O206" s="659"/>
      <c r="P206" s="603"/>
      <c r="Q206" s="603"/>
      <c r="R206" s="609"/>
      <c r="S206" s="609"/>
      <c r="T206" s="609"/>
      <c r="U206" s="609"/>
      <c r="V206" s="609"/>
      <c r="W206" s="609"/>
      <c r="X206" s="609"/>
      <c r="Y206" s="609"/>
      <c r="Z206" s="609"/>
      <c r="AA206" s="609"/>
      <c r="AB206" s="609"/>
      <c r="AC206" s="609"/>
      <c r="AD206" s="610"/>
      <c r="AE206" s="610"/>
      <c r="AF206" s="610"/>
      <c r="AG206" s="609"/>
      <c r="AH206" s="609"/>
      <c r="AI206" s="609"/>
      <c r="AJ206" s="609"/>
      <c r="AK206" s="609"/>
      <c r="AL206" s="609"/>
      <c r="AM206" s="609"/>
      <c r="AN206" s="611"/>
      <c r="AO206" s="611"/>
      <c r="AP206" s="172"/>
      <c r="AQ206" s="172"/>
      <c r="AV206" s="115"/>
    </row>
    <row r="207" spans="1:64" ht="30.25" customHeight="1" x14ac:dyDescent="0.25">
      <c r="A207" s="593" t="s">
        <v>2604</v>
      </c>
      <c r="B207" s="593" t="s">
        <v>3561</v>
      </c>
      <c r="C207" s="594" t="str">
        <f t="shared" si="41"/>
        <v>TESLA Model S Plaid+</v>
      </c>
      <c r="D207" s="593" t="s">
        <v>2741</v>
      </c>
      <c r="E207" s="593">
        <v>580</v>
      </c>
      <c r="F207" s="593" t="s">
        <v>2521</v>
      </c>
      <c r="G207" s="642"/>
      <c r="H207" s="593"/>
      <c r="I207" s="593">
        <v>0</v>
      </c>
      <c r="J207" s="595"/>
      <c r="K207" s="595"/>
      <c r="L207" s="595">
        <v>139990</v>
      </c>
      <c r="M207" s="596"/>
      <c r="N207" s="643"/>
      <c r="O207" s="659"/>
      <c r="P207" s="603"/>
      <c r="Q207" s="603"/>
      <c r="R207" s="609"/>
      <c r="S207" s="609"/>
      <c r="T207" s="609"/>
      <c r="U207" s="609"/>
      <c r="V207" s="609"/>
      <c r="W207" s="609"/>
      <c r="X207" s="609"/>
      <c r="Y207" s="609"/>
      <c r="Z207" s="609"/>
      <c r="AA207" s="609"/>
      <c r="AB207" s="609"/>
      <c r="AC207" s="609"/>
      <c r="AD207" s="610"/>
      <c r="AE207" s="610"/>
      <c r="AF207" s="610"/>
      <c r="AG207" s="609"/>
      <c r="AH207" s="609"/>
      <c r="AI207" s="609"/>
      <c r="AJ207" s="609"/>
      <c r="AK207" s="609"/>
      <c r="AL207" s="609"/>
      <c r="AM207" s="609"/>
      <c r="AN207" s="611"/>
      <c r="AO207" s="611"/>
      <c r="AP207" s="172"/>
      <c r="AQ207" s="172"/>
      <c r="AV207" s="115"/>
    </row>
    <row r="208" spans="1:64" ht="30.25" customHeight="1" x14ac:dyDescent="0.25">
      <c r="A208" s="593" t="s">
        <v>2604</v>
      </c>
      <c r="B208" s="593" t="s">
        <v>3359</v>
      </c>
      <c r="C208" s="594" t="str">
        <f t="shared" si="41"/>
        <v>TESLA Model X Maximale Reichweite</v>
      </c>
      <c r="D208" s="593" t="s">
        <v>2741</v>
      </c>
      <c r="E208" s="593">
        <v>415</v>
      </c>
      <c r="F208" s="593" t="s">
        <v>2521</v>
      </c>
      <c r="G208" s="642"/>
      <c r="H208" s="593"/>
      <c r="I208" s="593">
        <v>0</v>
      </c>
      <c r="J208" s="595"/>
      <c r="K208" s="595"/>
      <c r="L208" s="595">
        <v>99990</v>
      </c>
      <c r="M208" s="596"/>
      <c r="N208" s="643" t="s">
        <v>801</v>
      </c>
      <c r="O208" s="576"/>
      <c r="P208" s="603"/>
      <c r="Q208" s="603"/>
      <c r="R208" s="609"/>
      <c r="S208" s="609"/>
      <c r="T208" s="609"/>
      <c r="U208" s="609"/>
      <c r="V208" s="609"/>
      <c r="W208" s="609"/>
      <c r="X208" s="609"/>
      <c r="Y208" s="609"/>
      <c r="Z208" s="609"/>
      <c r="AA208" s="609"/>
      <c r="AB208" s="609"/>
      <c r="AC208" s="609"/>
      <c r="AD208" s="610"/>
      <c r="AE208" s="609"/>
      <c r="AF208" s="609"/>
      <c r="AG208" s="611"/>
      <c r="AH208" s="609"/>
      <c r="AI208" s="609"/>
      <c r="AJ208" s="609"/>
      <c r="AK208" s="609"/>
      <c r="AL208" s="609"/>
      <c r="AM208" s="609"/>
      <c r="AN208" s="609"/>
      <c r="AO208" s="609"/>
      <c r="AV208" s="115"/>
    </row>
    <row r="209" spans="1:48" ht="30.25" customHeight="1" x14ac:dyDescent="0.25">
      <c r="A209" s="593" t="s">
        <v>2604</v>
      </c>
      <c r="B209" s="593" t="s">
        <v>3562</v>
      </c>
      <c r="C209" s="594" t="str">
        <f t="shared" si="41"/>
        <v>TESLA Model X Plaid</v>
      </c>
      <c r="D209" s="593" t="s">
        <v>2741</v>
      </c>
      <c r="E209" s="593">
        <v>580</v>
      </c>
      <c r="F209" s="593" t="s">
        <v>2521</v>
      </c>
      <c r="G209" s="642"/>
      <c r="H209" s="593"/>
      <c r="I209" s="593">
        <v>0</v>
      </c>
      <c r="J209" s="595"/>
      <c r="K209" s="595"/>
      <c r="L209" s="595">
        <v>119990</v>
      </c>
      <c r="M209" s="596"/>
      <c r="N209" s="643" t="s">
        <v>801</v>
      </c>
      <c r="O209" s="659"/>
      <c r="P209" s="603"/>
      <c r="Q209" s="603"/>
      <c r="R209" s="609"/>
      <c r="S209" s="609"/>
      <c r="T209" s="609"/>
      <c r="U209" s="609"/>
      <c r="V209" s="609"/>
      <c r="W209" s="609"/>
      <c r="X209" s="609"/>
      <c r="Y209" s="609"/>
      <c r="Z209" s="609"/>
      <c r="AA209" s="609"/>
      <c r="AB209" s="609"/>
      <c r="AC209" s="609"/>
      <c r="AD209" s="609"/>
      <c r="AE209" s="609"/>
      <c r="AF209" s="609"/>
      <c r="AG209" s="611"/>
      <c r="AH209" s="609"/>
      <c r="AI209" s="609"/>
      <c r="AJ209" s="609"/>
      <c r="AK209" s="609"/>
      <c r="AL209" s="609"/>
      <c r="AM209" s="609"/>
      <c r="AN209" s="609"/>
      <c r="AO209" s="609"/>
      <c r="AV209" s="115"/>
    </row>
    <row r="210" spans="1:48" ht="30.25" customHeight="1" x14ac:dyDescent="0.25">
      <c r="A210" s="593" t="s">
        <v>2540</v>
      </c>
      <c r="B210" s="593" t="s">
        <v>2739</v>
      </c>
      <c r="C210" s="594" t="str">
        <f t="shared" si="41"/>
        <v>VW  e-up!</v>
      </c>
      <c r="D210" s="593" t="s">
        <v>2741</v>
      </c>
      <c r="E210" s="593">
        <v>61</v>
      </c>
      <c r="F210" s="593" t="s">
        <v>2521</v>
      </c>
      <c r="G210" s="642">
        <v>14.7</v>
      </c>
      <c r="H210" s="593"/>
      <c r="I210" s="593">
        <v>0</v>
      </c>
      <c r="J210" s="595">
        <v>0</v>
      </c>
      <c r="K210" s="595">
        <v>0</v>
      </c>
      <c r="L210" s="595">
        <v>22590</v>
      </c>
      <c r="M210" s="596"/>
      <c r="N210" s="643" t="s">
        <v>2875</v>
      </c>
      <c r="O210" s="576"/>
      <c r="P210" s="603"/>
      <c r="Q210" s="603"/>
      <c r="R210" s="609"/>
      <c r="S210" s="609"/>
      <c r="T210" s="609"/>
      <c r="U210" s="609"/>
      <c r="V210" s="609"/>
      <c r="W210" s="609"/>
      <c r="X210" s="609"/>
      <c r="Y210" s="609"/>
      <c r="Z210" s="609"/>
      <c r="AA210" s="609"/>
      <c r="AB210" s="609"/>
      <c r="AC210" s="609"/>
      <c r="AD210" s="609"/>
      <c r="AE210" s="609"/>
      <c r="AF210" s="609"/>
      <c r="AG210" s="611"/>
      <c r="AH210" s="609"/>
      <c r="AI210" s="609"/>
      <c r="AJ210" s="609"/>
      <c r="AK210" s="609"/>
      <c r="AL210" s="609"/>
      <c r="AM210" s="609"/>
      <c r="AN210" s="609"/>
      <c r="AO210" s="609"/>
      <c r="AV210" s="589"/>
    </row>
    <row r="211" spans="1:48" ht="30.25" customHeight="1" x14ac:dyDescent="0.25">
      <c r="A211" s="593" t="s">
        <v>2540</v>
      </c>
      <c r="B211" s="593" t="s">
        <v>3129</v>
      </c>
      <c r="C211" s="594" t="str">
        <f t="shared" si="41"/>
        <v>VW e-Golf</v>
      </c>
      <c r="D211" s="593" t="s">
        <v>2741</v>
      </c>
      <c r="E211" s="593">
        <v>100</v>
      </c>
      <c r="F211" s="593" t="s">
        <v>2521</v>
      </c>
      <c r="G211" s="642">
        <v>15.7</v>
      </c>
      <c r="H211" s="593"/>
      <c r="I211" s="593">
        <v>0</v>
      </c>
      <c r="J211" s="595">
        <v>0</v>
      </c>
      <c r="K211" s="595">
        <v>0</v>
      </c>
      <c r="L211" s="595">
        <v>33990</v>
      </c>
      <c r="M211" s="596"/>
      <c r="N211" s="643" t="s">
        <v>2875</v>
      </c>
      <c r="O211" s="576"/>
      <c r="P211" s="603"/>
      <c r="Q211" s="603"/>
      <c r="R211" s="609"/>
      <c r="S211" s="609"/>
      <c r="T211" s="609"/>
      <c r="U211" s="609"/>
      <c r="V211" s="609"/>
      <c r="W211" s="609"/>
      <c r="X211" s="609"/>
      <c r="Y211" s="609"/>
      <c r="Z211" s="609"/>
      <c r="AA211" s="609"/>
      <c r="AB211" s="609"/>
      <c r="AC211" s="609"/>
      <c r="AD211" s="609"/>
      <c r="AE211" s="609"/>
      <c r="AF211" s="609"/>
      <c r="AG211" s="611"/>
      <c r="AH211" s="609"/>
      <c r="AI211" s="609"/>
      <c r="AJ211" s="609"/>
      <c r="AK211" s="609"/>
      <c r="AL211" s="609"/>
      <c r="AM211" s="609"/>
      <c r="AN211" s="609"/>
      <c r="AO211" s="609"/>
      <c r="AV211" s="119">
        <f>SUM(AQ204:AU204)</f>
        <v>4</v>
      </c>
    </row>
    <row r="212" spans="1:48" ht="30.25" customHeight="1" x14ac:dyDescent="0.25">
      <c r="A212" s="593" t="s">
        <v>2540</v>
      </c>
      <c r="B212" s="593" t="s">
        <v>3544</v>
      </c>
      <c r="C212" s="594" t="str">
        <f t="shared" si="41"/>
        <v>VW ID.3 Pure Performance Upgrade (45 kWh) Basis</v>
      </c>
      <c r="D212" s="593" t="s">
        <v>2741</v>
      </c>
      <c r="E212" s="593">
        <v>110</v>
      </c>
      <c r="F212" s="593" t="s">
        <v>2521</v>
      </c>
      <c r="G212" s="642">
        <v>15.6</v>
      </c>
      <c r="H212" s="593"/>
      <c r="I212" s="593">
        <v>0</v>
      </c>
      <c r="J212" s="595"/>
      <c r="K212" s="595"/>
      <c r="L212" s="595">
        <v>33020</v>
      </c>
      <c r="M212" s="596"/>
      <c r="N212" s="643" t="s">
        <v>2875</v>
      </c>
      <c r="O212" s="659"/>
      <c r="P212" s="603"/>
      <c r="Q212" s="603"/>
      <c r="R212" s="609"/>
      <c r="S212" s="609"/>
      <c r="T212" s="609"/>
      <c r="U212" s="609"/>
      <c r="V212" s="609"/>
      <c r="W212" s="609"/>
      <c r="X212" s="609"/>
      <c r="Y212" s="609"/>
      <c r="Z212" s="609"/>
      <c r="AA212" s="609"/>
      <c r="AB212" s="609"/>
      <c r="AC212" s="609"/>
      <c r="AD212" s="609"/>
      <c r="AE212" s="609"/>
      <c r="AF212" s="609"/>
      <c r="AG212" s="611"/>
      <c r="AH212" s="609"/>
      <c r="AI212" s="609"/>
      <c r="AJ212" s="609"/>
      <c r="AK212" s="609"/>
      <c r="AL212" s="609"/>
      <c r="AM212" s="609"/>
      <c r="AN212" s="609"/>
      <c r="AO212" s="609"/>
      <c r="AV212" s="119"/>
    </row>
    <row r="213" spans="1:48" ht="30.25" customHeight="1" x14ac:dyDescent="0.25">
      <c r="A213" s="593" t="s">
        <v>2540</v>
      </c>
      <c r="B213" s="593" t="s">
        <v>3545</v>
      </c>
      <c r="C213" s="594" t="str">
        <f t="shared" ref="C213:C215" si="46">CONCATENATE(A213," ",B213)</f>
        <v>VW ID.3 Pure Performance Upgrade (45 kWh) City</v>
      </c>
      <c r="D213" s="593" t="s">
        <v>2741</v>
      </c>
      <c r="E213" s="593">
        <v>110</v>
      </c>
      <c r="F213" s="593" t="s">
        <v>2521</v>
      </c>
      <c r="G213" s="642">
        <v>15.6</v>
      </c>
      <c r="H213" s="593"/>
      <c r="I213" s="593">
        <v>0</v>
      </c>
      <c r="J213" s="595"/>
      <c r="K213" s="595"/>
      <c r="L213" s="595">
        <v>35520</v>
      </c>
      <c r="M213" s="596"/>
      <c r="N213" s="643" t="s">
        <v>2875</v>
      </c>
      <c r="O213" s="659"/>
      <c r="P213" s="603"/>
      <c r="Q213" s="603"/>
      <c r="R213" s="609"/>
      <c r="S213" s="609"/>
      <c r="T213" s="609"/>
      <c r="U213" s="609"/>
      <c r="V213" s="609"/>
      <c r="W213" s="609"/>
      <c r="X213" s="609"/>
      <c r="Y213" s="609"/>
      <c r="Z213" s="609"/>
      <c r="AA213" s="609"/>
      <c r="AB213" s="609"/>
      <c r="AC213" s="609"/>
      <c r="AD213" s="609"/>
      <c r="AE213" s="609"/>
      <c r="AF213" s="609"/>
      <c r="AG213" s="611"/>
      <c r="AH213" s="609"/>
      <c r="AI213" s="609"/>
      <c r="AJ213" s="609"/>
      <c r="AK213" s="609"/>
      <c r="AL213" s="609"/>
      <c r="AM213" s="609"/>
      <c r="AN213" s="609"/>
      <c r="AO213" s="609"/>
      <c r="AV213" s="119"/>
    </row>
    <row r="214" spans="1:48" ht="30.25" customHeight="1" x14ac:dyDescent="0.25">
      <c r="A214" s="593" t="s">
        <v>2540</v>
      </c>
      <c r="B214" s="593" t="s">
        <v>3546</v>
      </c>
      <c r="C214" s="594" t="str">
        <f t="shared" si="46"/>
        <v>VW ID.3 Pure Performance Upgrade (45 kWh) Style</v>
      </c>
      <c r="D214" s="593" t="s">
        <v>2741</v>
      </c>
      <c r="E214" s="593">
        <v>110</v>
      </c>
      <c r="F214" s="593" t="s">
        <v>2521</v>
      </c>
      <c r="G214" s="642">
        <v>15.6</v>
      </c>
      <c r="H214" s="593"/>
      <c r="I214" s="593">
        <v>0</v>
      </c>
      <c r="J214" s="595"/>
      <c r="K214" s="595"/>
      <c r="L214" s="595">
        <v>39430</v>
      </c>
      <c r="M214" s="596"/>
      <c r="N214" s="643" t="s">
        <v>2875</v>
      </c>
      <c r="O214" s="659"/>
      <c r="P214" s="603"/>
      <c r="Q214" s="603"/>
      <c r="R214" s="609"/>
      <c r="S214" s="609"/>
      <c r="T214" s="609"/>
      <c r="U214" s="609"/>
      <c r="V214" s="609"/>
      <c r="W214" s="609"/>
      <c r="X214" s="609"/>
      <c r="Y214" s="609"/>
      <c r="Z214" s="609"/>
      <c r="AA214" s="609"/>
      <c r="AB214" s="609"/>
      <c r="AC214" s="609"/>
      <c r="AD214" s="609"/>
      <c r="AE214" s="609"/>
      <c r="AF214" s="609"/>
      <c r="AG214" s="611"/>
      <c r="AH214" s="609"/>
      <c r="AI214" s="609"/>
      <c r="AJ214" s="609"/>
      <c r="AK214" s="609"/>
      <c r="AL214" s="609"/>
      <c r="AM214" s="609"/>
      <c r="AN214" s="609"/>
      <c r="AO214" s="609"/>
      <c r="AV214" s="119"/>
    </row>
    <row r="215" spans="1:48" ht="30.25" customHeight="1" x14ac:dyDescent="0.25">
      <c r="A215" s="593" t="s">
        <v>2540</v>
      </c>
      <c r="B215" s="593" t="s">
        <v>3547</v>
      </c>
      <c r="C215" s="594" t="str">
        <f t="shared" si="46"/>
        <v>VW ID.3 Pro (58 kWh) Basis</v>
      </c>
      <c r="D215" s="593" t="s">
        <v>2741</v>
      </c>
      <c r="E215" s="593">
        <v>107</v>
      </c>
      <c r="F215" s="593" t="s">
        <v>2521</v>
      </c>
      <c r="G215" s="642">
        <v>15.7</v>
      </c>
      <c r="H215" s="593"/>
      <c r="I215" s="593">
        <v>0</v>
      </c>
      <c r="J215" s="595"/>
      <c r="K215" s="595"/>
      <c r="L215" s="595">
        <v>35420</v>
      </c>
      <c r="M215" s="596"/>
      <c r="N215" s="643" t="s">
        <v>2875</v>
      </c>
      <c r="O215" s="659"/>
      <c r="P215" s="603"/>
      <c r="Q215" s="603"/>
      <c r="R215" s="609"/>
      <c r="S215" s="609"/>
      <c r="T215" s="609"/>
      <c r="U215" s="609"/>
      <c r="V215" s="609"/>
      <c r="W215" s="609"/>
      <c r="X215" s="609"/>
      <c r="Y215" s="609"/>
      <c r="Z215" s="609"/>
      <c r="AA215" s="609"/>
      <c r="AB215" s="609"/>
      <c r="AC215" s="609"/>
      <c r="AD215" s="609"/>
      <c r="AE215" s="609"/>
      <c r="AF215" s="609"/>
      <c r="AG215" s="611"/>
      <c r="AH215" s="609"/>
      <c r="AI215" s="609"/>
      <c r="AJ215" s="609"/>
      <c r="AK215" s="609"/>
      <c r="AL215" s="609"/>
      <c r="AM215" s="609"/>
      <c r="AN215" s="609"/>
      <c r="AO215" s="609"/>
      <c r="AV215" s="119"/>
    </row>
    <row r="216" spans="1:48" ht="30.25" customHeight="1" x14ac:dyDescent="0.25">
      <c r="A216" s="593" t="s">
        <v>2540</v>
      </c>
      <c r="B216" s="593" t="s">
        <v>3548</v>
      </c>
      <c r="C216" s="594" t="str">
        <f t="shared" ref="C216:C222" si="47">CONCATENATE(A216," ",B216)</f>
        <v>VW ID.3 Pro (58 kWh) Life</v>
      </c>
      <c r="D216" s="593" t="s">
        <v>2741</v>
      </c>
      <c r="E216" s="593">
        <v>107</v>
      </c>
      <c r="F216" s="593" t="s">
        <v>2521</v>
      </c>
      <c r="G216" s="642">
        <v>15.7</v>
      </c>
      <c r="H216" s="593"/>
      <c r="I216" s="593">
        <v>0</v>
      </c>
      <c r="J216" s="595"/>
      <c r="K216" s="595"/>
      <c r="L216" s="595">
        <v>38470</v>
      </c>
      <c r="M216" s="596"/>
      <c r="N216" s="643" t="s">
        <v>2875</v>
      </c>
      <c r="O216" s="659"/>
      <c r="P216" s="603"/>
      <c r="Q216" s="603"/>
      <c r="R216" s="609"/>
      <c r="S216" s="609"/>
      <c r="T216" s="609"/>
      <c r="U216" s="609"/>
      <c r="V216" s="609"/>
      <c r="W216" s="609"/>
      <c r="X216" s="609"/>
      <c r="Y216" s="609"/>
      <c r="Z216" s="609"/>
      <c r="AA216" s="609"/>
      <c r="AB216" s="609"/>
      <c r="AC216" s="609"/>
      <c r="AD216" s="609"/>
      <c r="AE216" s="609"/>
      <c r="AF216" s="609"/>
      <c r="AG216" s="611"/>
      <c r="AH216" s="609"/>
      <c r="AI216" s="609"/>
      <c r="AJ216" s="609"/>
      <c r="AK216" s="609"/>
      <c r="AL216" s="609"/>
      <c r="AM216" s="609"/>
      <c r="AN216" s="609"/>
      <c r="AO216" s="609"/>
      <c r="AV216" s="119"/>
    </row>
    <row r="217" spans="1:48" ht="30.25" customHeight="1" x14ac:dyDescent="0.25">
      <c r="A217" s="593" t="s">
        <v>2540</v>
      </c>
      <c r="B217" s="593" t="s">
        <v>3549</v>
      </c>
      <c r="C217" s="594" t="str">
        <f t="shared" si="47"/>
        <v>VW ID.3 Pro (58 kWh) Business</v>
      </c>
      <c r="D217" s="593" t="s">
        <v>2741</v>
      </c>
      <c r="E217" s="593">
        <v>107</v>
      </c>
      <c r="F217" s="593" t="s">
        <v>2521</v>
      </c>
      <c r="G217" s="642">
        <v>15.7</v>
      </c>
      <c r="H217" s="593"/>
      <c r="I217" s="593">
        <v>0</v>
      </c>
      <c r="J217" s="595"/>
      <c r="K217" s="595"/>
      <c r="L217" s="595">
        <v>41960</v>
      </c>
      <c r="M217" s="596"/>
      <c r="N217" s="643" t="s">
        <v>2875</v>
      </c>
      <c r="O217" s="659"/>
      <c r="P217" s="603"/>
      <c r="Q217" s="603"/>
      <c r="R217" s="609"/>
      <c r="S217" s="609"/>
      <c r="T217" s="609"/>
      <c r="U217" s="609"/>
      <c r="V217" s="609"/>
      <c r="W217" s="609"/>
      <c r="X217" s="609"/>
      <c r="Y217" s="609"/>
      <c r="Z217" s="609"/>
      <c r="AA217" s="609"/>
      <c r="AB217" s="609"/>
      <c r="AC217" s="609"/>
      <c r="AD217" s="609"/>
      <c r="AE217" s="609"/>
      <c r="AF217" s="609"/>
      <c r="AG217" s="611"/>
      <c r="AH217" s="609"/>
      <c r="AI217" s="609"/>
      <c r="AJ217" s="609"/>
      <c r="AK217" s="609"/>
      <c r="AL217" s="609"/>
      <c r="AM217" s="609"/>
      <c r="AN217" s="609"/>
      <c r="AO217" s="609"/>
      <c r="AV217" s="119"/>
    </row>
    <row r="218" spans="1:48" ht="30.25" customHeight="1" x14ac:dyDescent="0.25">
      <c r="A218" s="593" t="s">
        <v>2540</v>
      </c>
      <c r="B218" s="593" t="s">
        <v>3550</v>
      </c>
      <c r="C218" s="594" t="str">
        <f t="shared" si="47"/>
        <v>VW ID.3 Pro (58 kWh) Family</v>
      </c>
      <c r="D218" s="593" t="s">
        <v>2741</v>
      </c>
      <c r="E218" s="593">
        <v>107</v>
      </c>
      <c r="F218" s="593" t="s">
        <v>2521</v>
      </c>
      <c r="G218" s="642">
        <v>15.7</v>
      </c>
      <c r="H218" s="593"/>
      <c r="I218" s="593">
        <v>0</v>
      </c>
      <c r="J218" s="595"/>
      <c r="K218" s="595"/>
      <c r="L218" s="595">
        <v>42970</v>
      </c>
      <c r="M218" s="596"/>
      <c r="N218" s="643" t="s">
        <v>2875</v>
      </c>
      <c r="O218" s="659"/>
      <c r="P218" s="603"/>
      <c r="Q218" s="603"/>
      <c r="R218" s="609"/>
      <c r="S218" s="609"/>
      <c r="T218" s="609"/>
      <c r="U218" s="609"/>
      <c r="V218" s="609"/>
      <c r="W218" s="609"/>
      <c r="X218" s="609"/>
      <c r="Y218" s="609"/>
      <c r="Z218" s="609"/>
      <c r="AA218" s="609"/>
      <c r="AB218" s="609"/>
      <c r="AC218" s="609"/>
      <c r="AD218" s="609"/>
      <c r="AE218" s="609"/>
      <c r="AF218" s="609"/>
      <c r="AG218" s="611"/>
      <c r="AH218" s="609"/>
      <c r="AI218" s="609"/>
      <c r="AJ218" s="609"/>
      <c r="AK218" s="609"/>
      <c r="AL218" s="609"/>
      <c r="AM218" s="609"/>
      <c r="AN218" s="609"/>
      <c r="AO218" s="609"/>
      <c r="AV218" s="119"/>
    </row>
    <row r="219" spans="1:48" ht="30.25" customHeight="1" x14ac:dyDescent="0.25">
      <c r="A219" s="593" t="s">
        <v>2540</v>
      </c>
      <c r="B219" s="593" t="s">
        <v>3551</v>
      </c>
      <c r="C219" s="594" t="str">
        <f t="shared" si="47"/>
        <v>VW ID.3 Pure Performance Upgrade (58 kWh) Basis</v>
      </c>
      <c r="D219" s="593" t="s">
        <v>2741</v>
      </c>
      <c r="E219" s="593">
        <v>150</v>
      </c>
      <c r="F219" s="593" t="s">
        <v>2521</v>
      </c>
      <c r="G219" s="642">
        <v>16.2</v>
      </c>
      <c r="H219" s="593"/>
      <c r="I219" s="593">
        <v>0</v>
      </c>
      <c r="J219" s="595"/>
      <c r="K219" s="595"/>
      <c r="L219" s="595">
        <v>36490</v>
      </c>
      <c r="M219" s="596"/>
      <c r="N219" s="643" t="s">
        <v>2875</v>
      </c>
      <c r="O219" s="659"/>
      <c r="P219" s="603"/>
      <c r="Q219" s="603"/>
      <c r="R219" s="609"/>
      <c r="S219" s="609"/>
      <c r="T219" s="609"/>
      <c r="U219" s="609"/>
      <c r="V219" s="609"/>
      <c r="W219" s="609"/>
      <c r="X219" s="609"/>
      <c r="Y219" s="609"/>
      <c r="Z219" s="609"/>
      <c r="AA219" s="609"/>
      <c r="AB219" s="609"/>
      <c r="AC219" s="609"/>
      <c r="AD219" s="609"/>
      <c r="AE219" s="609"/>
      <c r="AF219" s="609"/>
      <c r="AG219" s="611"/>
      <c r="AH219" s="609"/>
      <c r="AI219" s="609"/>
      <c r="AJ219" s="609"/>
      <c r="AK219" s="609"/>
      <c r="AL219" s="609"/>
      <c r="AM219" s="609"/>
      <c r="AN219" s="609"/>
      <c r="AO219" s="609"/>
      <c r="AV219" s="119"/>
    </row>
    <row r="220" spans="1:48" ht="30.25" customHeight="1" x14ac:dyDescent="0.25">
      <c r="A220" s="593" t="s">
        <v>2540</v>
      </c>
      <c r="B220" s="593" t="s">
        <v>3552</v>
      </c>
      <c r="C220" s="594" t="str">
        <f t="shared" si="47"/>
        <v>VW ID.3 Pure Performance Upgrade (58 kWh) Life</v>
      </c>
      <c r="D220" s="593" t="s">
        <v>2741</v>
      </c>
      <c r="E220" s="593">
        <v>150</v>
      </c>
      <c r="F220" s="593" t="s">
        <v>2521</v>
      </c>
      <c r="G220" s="642">
        <v>16.2</v>
      </c>
      <c r="H220" s="593"/>
      <c r="I220" s="593">
        <v>0</v>
      </c>
      <c r="J220" s="595"/>
      <c r="K220" s="595"/>
      <c r="L220" s="595">
        <v>39540</v>
      </c>
      <c r="M220" s="596"/>
      <c r="N220" s="643" t="s">
        <v>2875</v>
      </c>
      <c r="O220" s="659"/>
      <c r="P220" s="603"/>
      <c r="Q220" s="603"/>
      <c r="R220" s="609"/>
      <c r="S220" s="609"/>
      <c r="T220" s="609"/>
      <c r="U220" s="609"/>
      <c r="V220" s="609"/>
      <c r="W220" s="609"/>
      <c r="X220" s="609"/>
      <c r="Y220" s="609"/>
      <c r="Z220" s="609"/>
      <c r="AA220" s="609"/>
      <c r="AB220" s="609"/>
      <c r="AC220" s="609"/>
      <c r="AD220" s="609"/>
      <c r="AE220" s="609"/>
      <c r="AF220" s="609"/>
      <c r="AG220" s="611"/>
      <c r="AH220" s="609"/>
      <c r="AI220" s="609"/>
      <c r="AJ220" s="609"/>
      <c r="AK220" s="609"/>
      <c r="AL220" s="609"/>
      <c r="AM220" s="609"/>
      <c r="AN220" s="609"/>
      <c r="AO220" s="609"/>
      <c r="AV220" s="119"/>
    </row>
    <row r="221" spans="1:48" ht="30.25" customHeight="1" x14ac:dyDescent="0.25">
      <c r="A221" s="593" t="s">
        <v>2540</v>
      </c>
      <c r="B221" s="593" t="s">
        <v>3556</v>
      </c>
      <c r="C221" s="594" t="str">
        <f t="shared" si="47"/>
        <v>VW ID.3 Pure Performance Upgrade (58 kWh) Business</v>
      </c>
      <c r="D221" s="593" t="s">
        <v>2741</v>
      </c>
      <c r="E221" s="593">
        <v>150</v>
      </c>
      <c r="F221" s="593" t="s">
        <v>2521</v>
      </c>
      <c r="G221" s="642">
        <v>16.2</v>
      </c>
      <c r="H221" s="593"/>
      <c r="I221" s="593">
        <v>0</v>
      </c>
      <c r="J221" s="595"/>
      <c r="K221" s="595"/>
      <c r="L221" s="595">
        <v>43030</v>
      </c>
      <c r="M221" s="596"/>
      <c r="N221" s="643" t="s">
        <v>2875</v>
      </c>
      <c r="O221" s="659"/>
      <c r="P221" s="603"/>
      <c r="Q221" s="603"/>
      <c r="R221" s="609"/>
      <c r="S221" s="609"/>
      <c r="T221" s="609"/>
      <c r="U221" s="609"/>
      <c r="V221" s="609"/>
      <c r="W221" s="609"/>
      <c r="X221" s="609"/>
      <c r="Y221" s="609"/>
      <c r="Z221" s="609"/>
      <c r="AA221" s="609"/>
      <c r="AB221" s="609"/>
      <c r="AC221" s="609"/>
      <c r="AD221" s="609"/>
      <c r="AE221" s="609"/>
      <c r="AF221" s="609"/>
      <c r="AG221" s="611"/>
      <c r="AH221" s="609"/>
      <c r="AI221" s="609"/>
      <c r="AJ221" s="609"/>
      <c r="AK221" s="609"/>
      <c r="AL221" s="609"/>
      <c r="AM221" s="609"/>
      <c r="AN221" s="609"/>
      <c r="AO221" s="609"/>
      <c r="AV221" s="119"/>
    </row>
    <row r="222" spans="1:48" ht="30.25" customHeight="1" x14ac:dyDescent="0.25">
      <c r="A222" s="593" t="s">
        <v>2540</v>
      </c>
      <c r="B222" s="593" t="s">
        <v>3555</v>
      </c>
      <c r="C222" s="594" t="str">
        <f t="shared" si="47"/>
        <v>VW ID.3 Pure Performance Upgrade (58 kWh) Family</v>
      </c>
      <c r="D222" s="593" t="s">
        <v>2741</v>
      </c>
      <c r="E222" s="593">
        <v>150</v>
      </c>
      <c r="F222" s="593" t="s">
        <v>2521</v>
      </c>
      <c r="G222" s="642">
        <v>16.2</v>
      </c>
      <c r="H222" s="593"/>
      <c r="I222" s="593">
        <v>0</v>
      </c>
      <c r="J222" s="595"/>
      <c r="K222" s="595"/>
      <c r="L222" s="595">
        <v>44040</v>
      </c>
      <c r="M222" s="596"/>
      <c r="N222" s="643" t="s">
        <v>2875</v>
      </c>
      <c r="O222" s="659"/>
      <c r="P222" s="603"/>
      <c r="Q222" s="603"/>
      <c r="R222" s="609"/>
      <c r="S222" s="609"/>
      <c r="T222" s="609"/>
      <c r="U222" s="609"/>
      <c r="V222" s="609"/>
      <c r="W222" s="609"/>
      <c r="X222" s="609"/>
      <c r="Y222" s="609"/>
      <c r="Z222" s="609"/>
      <c r="AA222" s="609"/>
      <c r="AB222" s="609"/>
      <c r="AC222" s="609"/>
      <c r="AD222" s="609"/>
      <c r="AE222" s="609"/>
      <c r="AF222" s="609"/>
      <c r="AG222" s="611"/>
      <c r="AH222" s="609"/>
      <c r="AI222" s="609"/>
      <c r="AJ222" s="609"/>
      <c r="AK222" s="609"/>
      <c r="AL222" s="609"/>
      <c r="AM222" s="609"/>
      <c r="AN222" s="609"/>
      <c r="AO222" s="609"/>
      <c r="AV222" s="119"/>
    </row>
    <row r="223" spans="1:48" ht="30.25" customHeight="1" x14ac:dyDescent="0.25">
      <c r="A223" s="593" t="s">
        <v>2540</v>
      </c>
      <c r="B223" s="593" t="s">
        <v>3554</v>
      </c>
      <c r="C223" s="594" t="str">
        <f t="shared" ref="C223:C225" si="48">CONCATENATE(A223," ",B223)</f>
        <v>VW ID.3 Pure Performance Upgrade (58 kWh) Tech</v>
      </c>
      <c r="D223" s="593" t="s">
        <v>2741</v>
      </c>
      <c r="E223" s="593">
        <v>150</v>
      </c>
      <c r="F223" s="593" t="s">
        <v>2521</v>
      </c>
      <c r="G223" s="642">
        <v>16.2</v>
      </c>
      <c r="H223" s="593"/>
      <c r="I223" s="593">
        <v>0</v>
      </c>
      <c r="J223" s="595"/>
      <c r="K223" s="595"/>
      <c r="L223" s="595">
        <v>45730</v>
      </c>
      <c r="M223" s="596"/>
      <c r="N223" s="643" t="s">
        <v>2875</v>
      </c>
      <c r="O223" s="659"/>
      <c r="P223" s="603"/>
      <c r="Q223" s="603"/>
      <c r="R223" s="609"/>
      <c r="S223" s="609"/>
      <c r="T223" s="609"/>
      <c r="U223" s="609"/>
      <c r="V223" s="609"/>
      <c r="W223" s="609"/>
      <c r="X223" s="609"/>
      <c r="Y223" s="609"/>
      <c r="Z223" s="609"/>
      <c r="AA223" s="609"/>
      <c r="AB223" s="609"/>
      <c r="AC223" s="609"/>
      <c r="AD223" s="609"/>
      <c r="AE223" s="609"/>
      <c r="AF223" s="609"/>
      <c r="AG223" s="611"/>
      <c r="AH223" s="609"/>
      <c r="AI223" s="609"/>
      <c r="AJ223" s="609"/>
      <c r="AK223" s="609"/>
      <c r="AL223" s="609"/>
      <c r="AM223" s="609"/>
      <c r="AN223" s="609"/>
      <c r="AO223" s="609"/>
      <c r="AV223" s="119"/>
    </row>
    <row r="224" spans="1:48" ht="30.25" customHeight="1" x14ac:dyDescent="0.25">
      <c r="A224" s="593" t="s">
        <v>2540</v>
      </c>
      <c r="B224" s="593" t="s">
        <v>3553</v>
      </c>
      <c r="C224" s="594" t="str">
        <f t="shared" si="48"/>
        <v>VW ID.3 Pure Performance Upgrade (58 kWh) Max</v>
      </c>
      <c r="D224" s="593" t="s">
        <v>2741</v>
      </c>
      <c r="E224" s="593">
        <v>150</v>
      </c>
      <c r="F224" s="593" t="s">
        <v>2521</v>
      </c>
      <c r="G224" s="642">
        <v>16.2</v>
      </c>
      <c r="H224" s="593"/>
      <c r="I224" s="593">
        <v>0</v>
      </c>
      <c r="J224" s="595"/>
      <c r="K224" s="595"/>
      <c r="L224" s="595">
        <v>47960</v>
      </c>
      <c r="M224" s="596"/>
      <c r="N224" s="643" t="s">
        <v>2875</v>
      </c>
      <c r="O224" s="659"/>
      <c r="P224" s="603"/>
      <c r="Q224" s="603"/>
      <c r="R224" s="609"/>
      <c r="S224" s="609"/>
      <c r="T224" s="609"/>
      <c r="U224" s="609"/>
      <c r="V224" s="609"/>
      <c r="W224" s="609"/>
      <c r="X224" s="609"/>
      <c r="Y224" s="609"/>
      <c r="Z224" s="609"/>
      <c r="AA224" s="609"/>
      <c r="AB224" s="609"/>
      <c r="AC224" s="609"/>
      <c r="AD224" s="609"/>
      <c r="AE224" s="609"/>
      <c r="AF224" s="609"/>
      <c r="AG224" s="611"/>
      <c r="AH224" s="609"/>
      <c r="AI224" s="609"/>
      <c r="AJ224" s="609"/>
      <c r="AK224" s="609"/>
      <c r="AL224" s="609"/>
      <c r="AM224" s="609"/>
      <c r="AN224" s="609"/>
      <c r="AO224" s="609"/>
      <c r="AV224" s="119"/>
    </row>
    <row r="225" spans="1:48" ht="30.25" customHeight="1" x14ac:dyDescent="0.25">
      <c r="A225" s="593" t="s">
        <v>2540</v>
      </c>
      <c r="B225" s="593" t="s">
        <v>3557</v>
      </c>
      <c r="C225" s="594" t="str">
        <f t="shared" si="48"/>
        <v>VW ID.3 Pro S (77 kWh) Basis</v>
      </c>
      <c r="D225" s="593" t="s">
        <v>2741</v>
      </c>
      <c r="E225" s="593">
        <v>150</v>
      </c>
      <c r="F225" s="593" t="s">
        <v>2521</v>
      </c>
      <c r="G225" s="642">
        <v>16.5</v>
      </c>
      <c r="H225" s="593"/>
      <c r="I225" s="593">
        <v>0</v>
      </c>
      <c r="J225" s="595"/>
      <c r="K225" s="595"/>
      <c r="L225" s="595">
        <v>40360</v>
      </c>
      <c r="M225" s="596"/>
      <c r="N225" s="643" t="s">
        <v>2875</v>
      </c>
      <c r="O225" s="659"/>
      <c r="P225" s="603"/>
      <c r="Q225" s="603"/>
      <c r="R225" s="609"/>
      <c r="S225" s="609"/>
      <c r="T225" s="609"/>
      <c r="U225" s="609"/>
      <c r="V225" s="609"/>
      <c r="W225" s="609"/>
      <c r="X225" s="609"/>
      <c r="Y225" s="609"/>
      <c r="Z225" s="609"/>
      <c r="AA225" s="609"/>
      <c r="AB225" s="609"/>
      <c r="AC225" s="609"/>
      <c r="AD225" s="609"/>
      <c r="AE225" s="609"/>
      <c r="AF225" s="609"/>
      <c r="AG225" s="611"/>
      <c r="AH225" s="609"/>
      <c r="AI225" s="609"/>
      <c r="AJ225" s="609"/>
      <c r="AK225" s="609"/>
      <c r="AL225" s="609"/>
      <c r="AM225" s="609"/>
      <c r="AN225" s="609"/>
      <c r="AO225" s="609"/>
      <c r="AV225" s="119"/>
    </row>
    <row r="226" spans="1:48" ht="30.25" customHeight="1" x14ac:dyDescent="0.25">
      <c r="A226" s="593" t="s">
        <v>2540</v>
      </c>
      <c r="B226" s="593" t="s">
        <v>3558</v>
      </c>
      <c r="C226" s="594" t="str">
        <f t="shared" ref="C226" si="49">CONCATENATE(A226," ",B226)</f>
        <v>VW ID.3 Pro S (77 kWh) Tour</v>
      </c>
      <c r="D226" s="593" t="s">
        <v>2741</v>
      </c>
      <c r="E226" s="593">
        <v>150</v>
      </c>
      <c r="F226" s="593" t="s">
        <v>2521</v>
      </c>
      <c r="G226" s="642">
        <v>16.5</v>
      </c>
      <c r="H226" s="593"/>
      <c r="I226" s="593">
        <v>0</v>
      </c>
      <c r="J226" s="595"/>
      <c r="K226" s="595"/>
      <c r="L226" s="595">
        <v>49040</v>
      </c>
      <c r="M226" s="596"/>
      <c r="N226" s="643" t="s">
        <v>2875</v>
      </c>
      <c r="O226" s="659"/>
      <c r="P226" s="603"/>
      <c r="Q226" s="603"/>
      <c r="R226" s="609"/>
      <c r="S226" s="609"/>
      <c r="T226" s="609"/>
      <c r="U226" s="609"/>
      <c r="V226" s="609"/>
      <c r="W226" s="609"/>
      <c r="X226" s="609"/>
      <c r="Y226" s="609"/>
      <c r="Z226" s="609"/>
      <c r="AA226" s="609"/>
      <c r="AB226" s="609"/>
      <c r="AC226" s="609"/>
      <c r="AD226" s="609"/>
      <c r="AE226" s="609"/>
      <c r="AF226" s="609"/>
      <c r="AG226" s="611"/>
      <c r="AH226" s="609"/>
      <c r="AI226" s="609"/>
      <c r="AJ226" s="609"/>
      <c r="AK226" s="609"/>
      <c r="AL226" s="609"/>
      <c r="AM226" s="609"/>
      <c r="AN226" s="609"/>
      <c r="AO226" s="609"/>
      <c r="AV226" s="119"/>
    </row>
    <row r="227" spans="1:48" ht="30.25" customHeight="1" x14ac:dyDescent="0.25">
      <c r="A227" s="593" t="s">
        <v>2540</v>
      </c>
      <c r="B227" s="593" t="s">
        <v>3538</v>
      </c>
      <c r="C227" s="594" t="str">
        <f t="shared" si="41"/>
        <v>VW ID.4 Pro Performance Basis</v>
      </c>
      <c r="D227" s="593" t="s">
        <v>2741</v>
      </c>
      <c r="E227" s="593">
        <v>150</v>
      </c>
      <c r="F227" s="593" t="s">
        <v>2521</v>
      </c>
      <c r="G227" s="642">
        <v>17.899999999999999</v>
      </c>
      <c r="H227" s="593"/>
      <c r="I227" s="593">
        <v>0</v>
      </c>
      <c r="J227" s="595"/>
      <c r="K227" s="595"/>
      <c r="L227" s="595">
        <v>43970</v>
      </c>
      <c r="M227" s="596"/>
      <c r="N227" s="643" t="s">
        <v>2875</v>
      </c>
      <c r="O227" s="659"/>
      <c r="P227" s="603"/>
      <c r="Q227" s="603"/>
      <c r="R227" s="609"/>
      <c r="S227" s="609"/>
      <c r="T227" s="609"/>
      <c r="U227" s="609"/>
      <c r="V227" s="609"/>
      <c r="W227" s="609"/>
      <c r="X227" s="609"/>
      <c r="Y227" s="609"/>
      <c r="Z227" s="609"/>
      <c r="AA227" s="609"/>
      <c r="AB227" s="609"/>
      <c r="AC227" s="609"/>
      <c r="AD227" s="609"/>
      <c r="AE227" s="609"/>
      <c r="AF227" s="609"/>
      <c r="AG227" s="611"/>
      <c r="AH227" s="609"/>
      <c r="AI227" s="609"/>
      <c r="AJ227" s="609"/>
      <c r="AK227" s="609"/>
      <c r="AL227" s="609"/>
      <c r="AM227" s="609"/>
      <c r="AN227" s="609"/>
      <c r="AO227" s="609"/>
      <c r="AV227" s="119"/>
    </row>
    <row r="228" spans="1:48" ht="30.25" customHeight="1" x14ac:dyDescent="0.25">
      <c r="A228" s="593" t="s">
        <v>2540</v>
      </c>
      <c r="B228" s="593" t="s">
        <v>3539</v>
      </c>
      <c r="C228" s="594" t="str">
        <f t="shared" ref="C228:C232" si="50">CONCATENATE(A228," ",B228)</f>
        <v>VW ID.4 Pro Performance Life</v>
      </c>
      <c r="D228" s="593" t="s">
        <v>2741</v>
      </c>
      <c r="E228" s="593">
        <v>150</v>
      </c>
      <c r="F228" s="593" t="s">
        <v>2521</v>
      </c>
      <c r="G228" s="642">
        <v>17.899999999999999</v>
      </c>
      <c r="H228" s="593"/>
      <c r="I228" s="593">
        <v>0</v>
      </c>
      <c r="J228" s="595"/>
      <c r="K228" s="595"/>
      <c r="L228" s="595">
        <v>45290</v>
      </c>
      <c r="M228" s="596"/>
      <c r="N228" s="643" t="s">
        <v>2875</v>
      </c>
      <c r="O228" s="659"/>
      <c r="P228" s="603"/>
      <c r="Q228" s="603"/>
      <c r="R228" s="609"/>
      <c r="S228" s="609"/>
      <c r="T228" s="609"/>
      <c r="U228" s="609"/>
      <c r="V228" s="609"/>
      <c r="W228" s="609"/>
      <c r="X228" s="609"/>
      <c r="Y228" s="609"/>
      <c r="Z228" s="609"/>
      <c r="AA228" s="609"/>
      <c r="AB228" s="609"/>
      <c r="AC228" s="609"/>
      <c r="AD228" s="609"/>
      <c r="AE228" s="609"/>
      <c r="AF228" s="609"/>
      <c r="AG228" s="611"/>
      <c r="AH228" s="609"/>
      <c r="AI228" s="609"/>
      <c r="AJ228" s="609"/>
      <c r="AK228" s="609"/>
      <c r="AL228" s="609"/>
      <c r="AM228" s="609"/>
      <c r="AN228" s="609"/>
      <c r="AO228" s="609"/>
      <c r="AV228" s="119"/>
    </row>
    <row r="229" spans="1:48" ht="30.25" customHeight="1" x14ac:dyDescent="0.25">
      <c r="A229" s="593" t="s">
        <v>2540</v>
      </c>
      <c r="B229" s="593" t="s">
        <v>3540</v>
      </c>
      <c r="C229" s="594" t="str">
        <f t="shared" si="50"/>
        <v>VW ID.4 Pro Performance Business</v>
      </c>
      <c r="D229" s="593" t="s">
        <v>2741</v>
      </c>
      <c r="E229" s="593">
        <v>150</v>
      </c>
      <c r="F229" s="593" t="s">
        <v>2521</v>
      </c>
      <c r="G229" s="642">
        <v>17.899999999999999</v>
      </c>
      <c r="H229" s="593"/>
      <c r="I229" s="593">
        <v>0</v>
      </c>
      <c r="J229" s="595"/>
      <c r="K229" s="595"/>
      <c r="L229" s="595">
        <v>49090</v>
      </c>
      <c r="M229" s="596"/>
      <c r="N229" s="643" t="s">
        <v>2875</v>
      </c>
      <c r="O229" s="659"/>
      <c r="P229" s="603"/>
      <c r="Q229" s="603"/>
      <c r="R229" s="609"/>
      <c r="S229" s="609"/>
      <c r="T229" s="609"/>
      <c r="U229" s="609"/>
      <c r="V229" s="609"/>
      <c r="W229" s="609"/>
      <c r="X229" s="609"/>
      <c r="Y229" s="609"/>
      <c r="Z229" s="609"/>
      <c r="AA229" s="609"/>
      <c r="AB229" s="609"/>
      <c r="AC229" s="609"/>
      <c r="AD229" s="609"/>
      <c r="AE229" s="609"/>
      <c r="AF229" s="609"/>
      <c r="AG229" s="611"/>
      <c r="AH229" s="609"/>
      <c r="AI229" s="609"/>
      <c r="AJ229" s="609"/>
      <c r="AK229" s="609"/>
      <c r="AL229" s="609"/>
      <c r="AM229" s="609"/>
      <c r="AN229" s="609"/>
      <c r="AO229" s="609"/>
      <c r="AV229" s="119"/>
    </row>
    <row r="230" spans="1:48" ht="30.25" customHeight="1" x14ac:dyDescent="0.25">
      <c r="A230" s="593" t="s">
        <v>2540</v>
      </c>
      <c r="B230" s="593" t="s">
        <v>3541</v>
      </c>
      <c r="C230" s="594" t="str">
        <f t="shared" si="50"/>
        <v>VW ID.4 Pro Performance Family</v>
      </c>
      <c r="D230" s="593" t="s">
        <v>2741</v>
      </c>
      <c r="E230" s="593">
        <v>150</v>
      </c>
      <c r="F230" s="593" t="s">
        <v>2521</v>
      </c>
      <c r="G230" s="642">
        <v>17.899999999999999</v>
      </c>
      <c r="H230" s="593"/>
      <c r="I230" s="593">
        <v>0</v>
      </c>
      <c r="J230" s="595"/>
      <c r="K230" s="595"/>
      <c r="L230" s="595">
        <v>50290</v>
      </c>
      <c r="M230" s="596"/>
      <c r="N230" s="643" t="s">
        <v>2875</v>
      </c>
      <c r="O230" s="659"/>
      <c r="P230" s="603"/>
      <c r="Q230" s="603"/>
      <c r="R230" s="609"/>
      <c r="S230" s="609"/>
      <c r="T230" s="609"/>
      <c r="U230" s="609"/>
      <c r="V230" s="609"/>
      <c r="W230" s="609"/>
      <c r="X230" s="609"/>
      <c r="Y230" s="609"/>
      <c r="Z230" s="609"/>
      <c r="AA230" s="609"/>
      <c r="AB230" s="609"/>
      <c r="AC230" s="609"/>
      <c r="AD230" s="609"/>
      <c r="AE230" s="609"/>
      <c r="AF230" s="609"/>
      <c r="AG230" s="611"/>
      <c r="AH230" s="609"/>
      <c r="AI230" s="609"/>
      <c r="AJ230" s="609"/>
      <c r="AK230" s="609"/>
      <c r="AL230" s="609"/>
      <c r="AM230" s="609"/>
      <c r="AN230" s="609"/>
      <c r="AO230" s="609"/>
      <c r="AV230" s="119"/>
    </row>
    <row r="231" spans="1:48" ht="30.25" customHeight="1" x14ac:dyDescent="0.25">
      <c r="A231" s="593" t="s">
        <v>2540</v>
      </c>
      <c r="B231" s="593" t="s">
        <v>3542</v>
      </c>
      <c r="C231" s="594" t="str">
        <f t="shared" si="50"/>
        <v>VW ID.4 Pro Performance Tech</v>
      </c>
      <c r="D231" s="593" t="s">
        <v>2741</v>
      </c>
      <c r="E231" s="593">
        <v>150</v>
      </c>
      <c r="F231" s="593" t="s">
        <v>2521</v>
      </c>
      <c r="G231" s="642">
        <v>17.899999999999999</v>
      </c>
      <c r="H231" s="593"/>
      <c r="I231" s="593">
        <v>0</v>
      </c>
      <c r="J231" s="595"/>
      <c r="K231" s="595"/>
      <c r="L231" s="595">
        <v>53490</v>
      </c>
      <c r="M231" s="596"/>
      <c r="N231" s="643" t="s">
        <v>2875</v>
      </c>
      <c r="O231" s="659"/>
      <c r="P231" s="603"/>
      <c r="Q231" s="603"/>
      <c r="R231" s="609"/>
      <c r="S231" s="609"/>
      <c r="T231" s="609"/>
      <c r="U231" s="609"/>
      <c r="V231" s="609"/>
      <c r="W231" s="609"/>
      <c r="X231" s="609"/>
      <c r="Y231" s="609"/>
      <c r="Z231" s="609"/>
      <c r="AA231" s="609"/>
      <c r="AB231" s="609"/>
      <c r="AC231" s="609"/>
      <c r="AD231" s="609"/>
      <c r="AE231" s="609"/>
      <c r="AF231" s="609"/>
      <c r="AG231" s="611"/>
      <c r="AH231" s="609"/>
      <c r="AI231" s="609"/>
      <c r="AJ231" s="609"/>
      <c r="AK231" s="609"/>
      <c r="AL231" s="609"/>
      <c r="AM231" s="609"/>
      <c r="AN231" s="609"/>
      <c r="AO231" s="609"/>
      <c r="AV231" s="119"/>
    </row>
    <row r="232" spans="1:48" ht="30.25" customHeight="1" x14ac:dyDescent="0.25">
      <c r="A232" s="593" t="s">
        <v>2540</v>
      </c>
      <c r="B232" s="593" t="s">
        <v>3543</v>
      </c>
      <c r="C232" s="594" t="str">
        <f t="shared" si="50"/>
        <v>VW ID.4 Pro Performance Max</v>
      </c>
      <c r="D232" s="593" t="s">
        <v>2741</v>
      </c>
      <c r="E232" s="593">
        <v>150</v>
      </c>
      <c r="F232" s="593" t="s">
        <v>2521</v>
      </c>
      <c r="G232" s="642">
        <v>17.899999999999999</v>
      </c>
      <c r="H232" s="593"/>
      <c r="I232" s="593">
        <v>0</v>
      </c>
      <c r="J232" s="595"/>
      <c r="K232" s="595"/>
      <c r="L232" s="595">
        <v>56790</v>
      </c>
      <c r="M232" s="596"/>
      <c r="N232" s="643" t="s">
        <v>2875</v>
      </c>
      <c r="O232" s="659"/>
      <c r="P232" s="603"/>
      <c r="Q232" s="603"/>
      <c r="R232" s="609"/>
      <c r="S232" s="609"/>
      <c r="T232" s="609"/>
      <c r="U232" s="609"/>
      <c r="V232" s="609"/>
      <c r="W232" s="609"/>
      <c r="X232" s="609"/>
      <c r="Y232" s="609"/>
      <c r="Z232" s="609"/>
      <c r="AA232" s="609"/>
      <c r="AB232" s="609"/>
      <c r="AC232" s="609"/>
      <c r="AD232" s="609"/>
      <c r="AE232" s="609"/>
      <c r="AF232" s="609"/>
      <c r="AG232" s="611"/>
      <c r="AH232" s="609"/>
      <c r="AI232" s="609"/>
      <c r="AJ232" s="609"/>
      <c r="AK232" s="609"/>
      <c r="AL232" s="609"/>
      <c r="AM232" s="609"/>
      <c r="AN232" s="609"/>
      <c r="AO232" s="609"/>
      <c r="AV232" s="119"/>
    </row>
    <row r="233" spans="1:48" ht="30.25" customHeight="1" x14ac:dyDescent="0.25">
      <c r="A233" s="644" t="s">
        <v>3299</v>
      </c>
      <c r="B233" s="663" t="s">
        <v>2565</v>
      </c>
      <c r="C233" s="594" t="str">
        <f t="shared" si="41"/>
        <v>eigenes Fahrzeug</v>
      </c>
      <c r="D233" s="593" t="s">
        <v>2741</v>
      </c>
      <c r="E233" s="644"/>
      <c r="F233" s="593" t="s">
        <v>2521</v>
      </c>
      <c r="G233" s="645"/>
      <c r="H233" s="593"/>
      <c r="I233" s="593">
        <v>0</v>
      </c>
      <c r="J233" s="595"/>
      <c r="K233" s="595"/>
      <c r="L233" s="646"/>
      <c r="M233" s="596"/>
      <c r="N233" s="647"/>
      <c r="O233" s="576"/>
      <c r="P233" s="603"/>
      <c r="Q233" s="609"/>
      <c r="R233" s="609"/>
      <c r="S233" s="609"/>
      <c r="T233" s="609"/>
      <c r="U233" s="609"/>
      <c r="V233" s="609"/>
      <c r="W233" s="609"/>
      <c r="X233" s="609"/>
      <c r="Y233" s="609"/>
      <c r="Z233" s="609"/>
      <c r="AA233" s="609"/>
      <c r="AB233" s="609"/>
      <c r="AC233" s="609"/>
      <c r="AD233" s="609"/>
      <c r="AE233" s="609"/>
      <c r="AF233" s="609"/>
      <c r="AG233" s="609"/>
      <c r="AH233" s="609"/>
      <c r="AI233" s="609"/>
      <c r="AJ233" s="609"/>
      <c r="AK233" s="609"/>
      <c r="AL233" s="609"/>
      <c r="AM233" s="609"/>
      <c r="AN233" s="609"/>
      <c r="AO233" s="609"/>
      <c r="AV233" s="115"/>
    </row>
    <row r="234" spans="1:48" ht="30.25" customHeight="1" x14ac:dyDescent="0.25">
      <c r="A234" s="644" t="s">
        <v>3299</v>
      </c>
      <c r="B234" s="644" t="s">
        <v>2565</v>
      </c>
      <c r="C234" s="594" t="str">
        <f t="shared" si="41"/>
        <v>eigenes Fahrzeug</v>
      </c>
      <c r="D234" s="593" t="s">
        <v>2741</v>
      </c>
      <c r="E234" s="644"/>
      <c r="F234" s="593" t="s">
        <v>2521</v>
      </c>
      <c r="G234" s="645"/>
      <c r="H234" s="593"/>
      <c r="I234" s="593">
        <v>0</v>
      </c>
      <c r="J234" s="595"/>
      <c r="K234" s="595"/>
      <c r="L234" s="646"/>
      <c r="M234" s="596"/>
      <c r="N234" s="647"/>
      <c r="O234" s="576"/>
      <c r="P234" s="603"/>
      <c r="Q234" s="609"/>
      <c r="R234" s="609"/>
      <c r="S234" s="609"/>
      <c r="T234" s="609"/>
      <c r="U234" s="609"/>
      <c r="V234" s="609"/>
      <c r="W234" s="609"/>
      <c r="X234" s="609"/>
      <c r="Y234" s="609"/>
      <c r="Z234" s="609"/>
      <c r="AA234" s="609"/>
      <c r="AB234" s="609"/>
      <c r="AC234" s="609"/>
      <c r="AD234" s="609"/>
      <c r="AE234" s="609"/>
      <c r="AF234" s="609"/>
      <c r="AG234" s="609"/>
      <c r="AH234" s="609"/>
      <c r="AI234" s="609"/>
      <c r="AJ234" s="609"/>
      <c r="AK234" s="609"/>
      <c r="AL234" s="609"/>
      <c r="AM234" s="609"/>
      <c r="AN234" s="609"/>
      <c r="AO234" s="609"/>
    </row>
    <row r="235" spans="1:48" ht="30.25" customHeight="1" x14ac:dyDescent="0.25">
      <c r="A235" s="644" t="s">
        <v>3299</v>
      </c>
      <c r="B235" s="644" t="s">
        <v>2565</v>
      </c>
      <c r="C235" s="594" t="str">
        <f t="shared" si="41"/>
        <v>eigenes Fahrzeug</v>
      </c>
      <c r="D235" s="593" t="s">
        <v>2741</v>
      </c>
      <c r="E235" s="644"/>
      <c r="F235" s="593" t="s">
        <v>2521</v>
      </c>
      <c r="G235" s="645"/>
      <c r="H235" s="593"/>
      <c r="I235" s="593">
        <v>0</v>
      </c>
      <c r="J235" s="595"/>
      <c r="K235" s="595"/>
      <c r="L235" s="646"/>
      <c r="M235" s="596"/>
      <c r="N235" s="647"/>
      <c r="O235" s="576"/>
      <c r="P235" s="603"/>
      <c r="Q235" s="609"/>
      <c r="R235" s="609"/>
      <c r="S235" s="609"/>
      <c r="T235" s="609"/>
      <c r="U235" s="609"/>
      <c r="V235" s="609"/>
      <c r="W235" s="609"/>
      <c r="X235" s="609"/>
      <c r="Y235" s="609"/>
      <c r="Z235" s="609"/>
      <c r="AA235" s="609"/>
      <c r="AB235" s="609"/>
      <c r="AC235" s="609"/>
      <c r="AD235" s="609"/>
      <c r="AE235" s="609"/>
      <c r="AF235" s="609"/>
      <c r="AG235" s="609"/>
      <c r="AH235" s="609"/>
      <c r="AI235" s="609"/>
      <c r="AJ235" s="609"/>
      <c r="AK235" s="609"/>
      <c r="AL235" s="609"/>
      <c r="AM235" s="609"/>
      <c r="AN235" s="609"/>
      <c r="AO235" s="609"/>
    </row>
    <row r="236" spans="1:48" ht="30.25" customHeight="1" x14ac:dyDescent="0.25">
      <c r="O236" s="576"/>
      <c r="P236" s="603"/>
      <c r="Q236" s="609"/>
      <c r="R236" s="609"/>
      <c r="S236" s="609"/>
      <c r="T236" s="609"/>
      <c r="U236" s="609"/>
      <c r="V236" s="609"/>
      <c r="W236" s="609"/>
      <c r="X236" s="609"/>
      <c r="Y236" s="609"/>
      <c r="Z236" s="609"/>
      <c r="AA236" s="609"/>
      <c r="AB236" s="609"/>
      <c r="AC236" s="609"/>
      <c r="AD236" s="609"/>
      <c r="AE236" s="609"/>
      <c r="AF236" s="609"/>
      <c r="AG236" s="609"/>
      <c r="AH236" s="609"/>
      <c r="AI236" s="609"/>
      <c r="AJ236" s="609"/>
      <c r="AK236" s="609"/>
      <c r="AL236" s="609"/>
      <c r="AM236" s="609"/>
      <c r="AN236" s="609"/>
      <c r="AO236" s="609"/>
    </row>
    <row r="237" spans="1:48" ht="30.25" customHeight="1" x14ac:dyDescent="0.25">
      <c r="O237" s="576" t="s">
        <v>2973</v>
      </c>
      <c r="P237" s="603"/>
      <c r="Q237" s="609"/>
      <c r="R237" s="609"/>
      <c r="S237" s="609"/>
      <c r="T237" s="609"/>
      <c r="U237" s="609"/>
      <c r="V237" s="609"/>
      <c r="W237" s="609"/>
      <c r="X237" s="609"/>
      <c r="Y237" s="609"/>
      <c r="Z237" s="609"/>
      <c r="AA237" s="609"/>
      <c r="AB237" s="609"/>
      <c r="AC237" s="609"/>
      <c r="AD237" s="609"/>
      <c r="AE237" s="609"/>
      <c r="AF237" s="609"/>
      <c r="AG237" s="609"/>
      <c r="AH237" s="609"/>
      <c r="AI237" s="609"/>
      <c r="AJ237" s="609"/>
      <c r="AK237" s="609"/>
      <c r="AL237" s="609"/>
      <c r="AM237" s="609"/>
      <c r="AN237" s="609"/>
      <c r="AO237" s="609"/>
    </row>
    <row r="238" spans="1:48" ht="30.25" customHeight="1" x14ac:dyDescent="0.25">
      <c r="D238" s="274"/>
      <c r="O238" s="576"/>
      <c r="P238" s="603"/>
      <c r="Q238" s="609"/>
      <c r="R238" s="609"/>
      <c r="S238" s="609"/>
      <c r="T238" s="609"/>
      <c r="U238" s="609"/>
      <c r="V238" s="609"/>
      <c r="W238" s="609"/>
      <c r="X238" s="609"/>
      <c r="Y238" s="609"/>
      <c r="Z238" s="609"/>
      <c r="AA238" s="609"/>
      <c r="AB238" s="609"/>
      <c r="AC238" s="609"/>
      <c r="AD238" s="609"/>
      <c r="AE238" s="609"/>
      <c r="AF238" s="609"/>
      <c r="AG238" s="609"/>
      <c r="AH238" s="609"/>
      <c r="AI238" s="609"/>
      <c r="AJ238" s="609"/>
      <c r="AK238" s="609"/>
      <c r="AL238" s="609"/>
      <c r="AM238" s="609"/>
      <c r="AN238" s="609"/>
      <c r="AO238" s="609"/>
    </row>
    <row r="239" spans="1:48" ht="30.25" customHeight="1" x14ac:dyDescent="0.25">
      <c r="D239" s="274"/>
      <c r="O239" s="576"/>
      <c r="P239" s="603"/>
      <c r="Q239" s="612"/>
      <c r="R239" s="609"/>
      <c r="S239" s="609"/>
      <c r="T239" s="609"/>
      <c r="U239" s="609"/>
      <c r="V239" s="609"/>
      <c r="W239" s="609"/>
      <c r="X239" s="609"/>
      <c r="Y239" s="609"/>
      <c r="Z239" s="609"/>
      <c r="AA239" s="609"/>
      <c r="AB239" s="609"/>
      <c r="AC239" s="609"/>
      <c r="AD239" s="609"/>
      <c r="AE239" s="609"/>
      <c r="AF239" s="609"/>
      <c r="AG239" s="609"/>
      <c r="AH239" s="609"/>
      <c r="AI239" s="609"/>
      <c r="AJ239" s="609"/>
      <c r="AK239" s="609"/>
      <c r="AL239" s="609"/>
      <c r="AM239" s="609"/>
      <c r="AN239" s="609"/>
      <c r="AO239" s="609"/>
    </row>
    <row r="240" spans="1:48" ht="30.25" customHeight="1" x14ac:dyDescent="0.25">
      <c r="D240" s="274"/>
      <c r="O240" s="576" t="s">
        <v>2973</v>
      </c>
      <c r="P240" s="603"/>
      <c r="Q240" s="609"/>
      <c r="R240" s="609"/>
      <c r="S240" s="609"/>
      <c r="T240" s="609"/>
      <c r="U240" s="609"/>
      <c r="V240" s="609"/>
      <c r="W240" s="609"/>
      <c r="X240" s="609"/>
      <c r="Y240" s="609"/>
      <c r="Z240" s="609"/>
      <c r="AA240" s="609"/>
      <c r="AB240" s="609"/>
      <c r="AC240" s="609"/>
      <c r="AD240" s="609"/>
      <c r="AE240" s="609"/>
      <c r="AF240" s="609"/>
      <c r="AG240" s="609"/>
      <c r="AH240" s="609"/>
      <c r="AI240" s="609"/>
      <c r="AJ240" s="609"/>
      <c r="AK240" s="609"/>
      <c r="AL240" s="609"/>
      <c r="AM240" s="609"/>
      <c r="AN240" s="609"/>
      <c r="AO240" s="609"/>
    </row>
    <row r="241" spans="4:41" ht="30.25" customHeight="1" x14ac:dyDescent="0.25">
      <c r="D241" s="274"/>
      <c r="O241" s="576"/>
      <c r="P241" s="603"/>
      <c r="Q241" s="609"/>
      <c r="R241" s="609"/>
      <c r="S241" s="609"/>
      <c r="T241" s="609"/>
      <c r="U241" s="609"/>
      <c r="V241" s="609"/>
      <c r="W241" s="609"/>
      <c r="X241" s="609"/>
      <c r="Y241" s="609"/>
      <c r="Z241" s="609"/>
      <c r="AA241" s="609"/>
      <c r="AB241" s="609"/>
      <c r="AC241" s="609"/>
      <c r="AD241" s="609"/>
      <c r="AE241" s="609"/>
      <c r="AF241" s="609"/>
      <c r="AG241" s="609"/>
      <c r="AH241" s="609"/>
      <c r="AI241" s="609"/>
      <c r="AJ241" s="609"/>
      <c r="AK241" s="609"/>
      <c r="AL241" s="609"/>
      <c r="AM241" s="609"/>
      <c r="AN241" s="609"/>
      <c r="AO241" s="609"/>
    </row>
    <row r="242" spans="4:41" ht="30.25" customHeight="1" x14ac:dyDescent="0.25">
      <c r="D242" s="274"/>
      <c r="O242" s="576"/>
      <c r="P242" s="603"/>
      <c r="Q242" s="609"/>
      <c r="R242" s="609"/>
      <c r="S242" s="609"/>
      <c r="T242" s="609"/>
      <c r="U242" s="609"/>
      <c r="V242" s="609"/>
      <c r="W242" s="609"/>
      <c r="X242" s="609"/>
      <c r="Y242" s="609"/>
      <c r="Z242" s="609"/>
      <c r="AA242" s="609"/>
      <c r="AB242" s="609"/>
      <c r="AC242" s="609"/>
      <c r="AD242" s="609"/>
      <c r="AE242" s="609"/>
      <c r="AF242" s="609"/>
      <c r="AG242" s="609"/>
      <c r="AH242" s="609"/>
      <c r="AI242" s="609"/>
      <c r="AJ242" s="609"/>
      <c r="AK242" s="609"/>
      <c r="AL242" s="609"/>
      <c r="AM242" s="609"/>
      <c r="AN242" s="609"/>
      <c r="AO242" s="609"/>
    </row>
    <row r="243" spans="4:41" ht="30.25" customHeight="1" x14ac:dyDescent="0.25">
      <c r="D243" s="274"/>
      <c r="O243" s="576"/>
      <c r="P243" s="603"/>
      <c r="Q243" s="609"/>
      <c r="R243" s="609"/>
      <c r="S243" s="609"/>
      <c r="T243" s="609"/>
      <c r="U243" s="609"/>
      <c r="V243" s="609"/>
      <c r="W243" s="609"/>
      <c r="X243" s="609"/>
      <c r="Y243" s="609"/>
      <c r="Z243" s="609"/>
      <c r="AA243" s="609"/>
      <c r="AB243" s="609"/>
      <c r="AC243" s="609"/>
      <c r="AD243" s="609"/>
      <c r="AE243" s="609"/>
      <c r="AF243" s="609"/>
      <c r="AG243" s="609"/>
      <c r="AH243" s="609"/>
      <c r="AI243" s="609"/>
      <c r="AJ243" s="609"/>
      <c r="AK243" s="609"/>
      <c r="AL243" s="609"/>
      <c r="AM243" s="609"/>
      <c r="AN243" s="609"/>
      <c r="AO243" s="609"/>
    </row>
    <row r="244" spans="4:41" ht="30.25" customHeight="1" x14ac:dyDescent="0.25">
      <c r="D244" s="274"/>
      <c r="O244" s="576"/>
      <c r="P244" s="603"/>
      <c r="Q244" s="609"/>
      <c r="R244" s="609"/>
      <c r="S244" s="609"/>
      <c r="T244" s="609"/>
      <c r="U244" s="609"/>
      <c r="V244" s="609"/>
      <c r="W244" s="609"/>
      <c r="X244" s="609"/>
      <c r="Y244" s="609"/>
      <c r="Z244" s="609"/>
      <c r="AA244" s="609"/>
      <c r="AB244" s="609"/>
      <c r="AC244" s="609"/>
      <c r="AD244" s="609"/>
      <c r="AE244" s="609"/>
      <c r="AF244" s="609"/>
      <c r="AG244" s="609"/>
      <c r="AH244" s="609"/>
      <c r="AI244" s="609"/>
      <c r="AJ244" s="609"/>
      <c r="AK244" s="609"/>
      <c r="AL244" s="609"/>
      <c r="AM244" s="609"/>
      <c r="AN244" s="609"/>
      <c r="AO244" s="609"/>
    </row>
    <row r="245" spans="4:41" ht="30.25" customHeight="1" x14ac:dyDescent="0.25">
      <c r="D245" s="274"/>
      <c r="O245" s="576"/>
      <c r="P245" s="603"/>
      <c r="Q245" s="609"/>
      <c r="R245" s="609"/>
      <c r="S245" s="609"/>
      <c r="T245" s="609"/>
      <c r="U245" s="609"/>
      <c r="V245" s="609"/>
      <c r="W245" s="609"/>
      <c r="X245" s="609"/>
      <c r="Y245" s="609"/>
      <c r="Z245" s="609"/>
      <c r="AA245" s="609"/>
      <c r="AB245" s="609"/>
      <c r="AC245" s="609"/>
      <c r="AD245" s="609"/>
      <c r="AE245" s="609"/>
      <c r="AF245" s="609"/>
      <c r="AG245" s="609"/>
      <c r="AH245" s="609"/>
      <c r="AI245" s="609"/>
      <c r="AJ245" s="609"/>
      <c r="AK245" s="609"/>
      <c r="AL245" s="609"/>
      <c r="AM245" s="609"/>
      <c r="AN245" s="609"/>
      <c r="AO245" s="609"/>
    </row>
    <row r="246" spans="4:41" ht="30.25" customHeight="1" x14ac:dyDescent="0.25">
      <c r="D246" s="274"/>
      <c r="O246" s="576"/>
      <c r="P246" s="603"/>
      <c r="Q246" s="609"/>
      <c r="R246" s="609"/>
      <c r="S246" s="609"/>
      <c r="T246" s="609"/>
      <c r="U246" s="609"/>
      <c r="V246" s="609"/>
      <c r="W246" s="609"/>
      <c r="X246" s="609"/>
      <c r="Y246" s="609"/>
      <c r="Z246" s="609"/>
      <c r="AA246" s="609"/>
      <c r="AB246" s="609"/>
      <c r="AC246" s="609"/>
      <c r="AD246" s="609"/>
      <c r="AE246" s="609"/>
      <c r="AF246" s="609"/>
      <c r="AG246" s="609"/>
      <c r="AH246" s="609"/>
      <c r="AI246" s="609"/>
      <c r="AJ246" s="609"/>
      <c r="AK246" s="609"/>
      <c r="AL246" s="609"/>
      <c r="AM246" s="609"/>
      <c r="AN246" s="609"/>
      <c r="AO246" s="609"/>
    </row>
    <row r="247" spans="4:41" ht="30.25" customHeight="1" x14ac:dyDescent="0.25">
      <c r="D247" s="274"/>
      <c r="O247" s="576"/>
      <c r="P247" s="603"/>
      <c r="Q247" s="609"/>
      <c r="R247" s="609"/>
      <c r="S247" s="609"/>
      <c r="T247" s="609"/>
      <c r="U247" s="609"/>
      <c r="V247" s="609"/>
      <c r="W247" s="609"/>
      <c r="X247" s="609"/>
      <c r="Y247" s="609"/>
      <c r="Z247" s="609"/>
      <c r="AA247" s="609"/>
      <c r="AB247" s="609"/>
      <c r="AC247" s="609"/>
      <c r="AD247" s="609"/>
      <c r="AE247" s="609"/>
      <c r="AF247" s="609"/>
      <c r="AG247" s="609"/>
      <c r="AH247" s="609"/>
      <c r="AI247" s="609"/>
      <c r="AJ247" s="609"/>
      <c r="AK247" s="609"/>
      <c r="AL247" s="609"/>
      <c r="AM247" s="609"/>
      <c r="AN247" s="609"/>
      <c r="AO247" s="609"/>
    </row>
    <row r="248" spans="4:41" ht="30.25" customHeight="1" x14ac:dyDescent="0.25">
      <c r="D248" s="274"/>
      <c r="O248" s="576"/>
      <c r="P248" s="603"/>
      <c r="Q248" s="609"/>
      <c r="R248" s="609"/>
      <c r="S248" s="609"/>
      <c r="T248" s="609"/>
      <c r="U248" s="609"/>
      <c r="V248" s="609"/>
      <c r="W248" s="609"/>
      <c r="X248" s="609"/>
      <c r="Y248" s="609"/>
      <c r="Z248" s="609"/>
      <c r="AA248" s="609"/>
      <c r="AB248" s="609"/>
      <c r="AC248" s="609"/>
      <c r="AD248" s="609"/>
      <c r="AE248" s="609"/>
      <c r="AF248" s="609"/>
      <c r="AG248" s="609"/>
      <c r="AH248" s="609"/>
      <c r="AI248" s="609"/>
      <c r="AJ248" s="609"/>
      <c r="AK248" s="609"/>
      <c r="AL248" s="609"/>
      <c r="AM248" s="609"/>
      <c r="AN248" s="609"/>
      <c r="AO248" s="609"/>
    </row>
    <row r="249" spans="4:41" ht="30.25" customHeight="1" x14ac:dyDescent="0.25">
      <c r="D249" s="274"/>
      <c r="O249" s="576"/>
      <c r="P249" s="603"/>
      <c r="Q249" s="609"/>
      <c r="R249" s="609"/>
      <c r="S249" s="609"/>
      <c r="T249" s="609"/>
      <c r="U249" s="609"/>
      <c r="V249" s="609"/>
      <c r="W249" s="609"/>
      <c r="X249" s="609"/>
      <c r="Y249" s="609"/>
      <c r="Z249" s="609"/>
      <c r="AA249" s="609"/>
      <c r="AB249" s="609"/>
      <c r="AC249" s="609"/>
      <c r="AD249" s="609"/>
      <c r="AE249" s="609"/>
      <c r="AF249" s="609"/>
      <c r="AG249" s="609"/>
      <c r="AH249" s="609"/>
      <c r="AI249" s="609"/>
      <c r="AJ249" s="609"/>
      <c r="AK249" s="609"/>
      <c r="AL249" s="609"/>
      <c r="AM249" s="609"/>
      <c r="AN249" s="609"/>
      <c r="AO249" s="609"/>
    </row>
    <row r="250" spans="4:41" ht="30.25" customHeight="1" x14ac:dyDescent="0.25">
      <c r="D250" s="274"/>
      <c r="O250" s="576"/>
      <c r="P250" s="603"/>
      <c r="Q250" s="609"/>
      <c r="R250" s="609"/>
      <c r="S250" s="609"/>
      <c r="T250" s="609"/>
      <c r="U250" s="609"/>
      <c r="V250" s="609"/>
      <c r="W250" s="609"/>
      <c r="X250" s="609"/>
      <c r="Y250" s="609"/>
      <c r="Z250" s="609"/>
      <c r="AA250" s="609"/>
      <c r="AB250" s="609"/>
      <c r="AC250" s="609"/>
      <c r="AD250" s="609"/>
      <c r="AE250" s="609"/>
      <c r="AF250" s="609"/>
      <c r="AG250" s="609"/>
      <c r="AH250" s="609"/>
      <c r="AI250" s="609"/>
      <c r="AJ250" s="609"/>
      <c r="AK250" s="609"/>
      <c r="AL250" s="609"/>
      <c r="AM250" s="609"/>
      <c r="AN250" s="609"/>
      <c r="AO250" s="609"/>
    </row>
    <row r="251" spans="4:41" ht="30.25" customHeight="1" x14ac:dyDescent="0.25">
      <c r="O251" s="576"/>
      <c r="P251" s="603"/>
      <c r="Q251" s="609"/>
      <c r="R251" s="609"/>
      <c r="S251" s="609"/>
      <c r="T251" s="609"/>
      <c r="U251" s="609"/>
      <c r="V251" s="609"/>
      <c r="W251" s="609"/>
      <c r="X251" s="609"/>
      <c r="Y251" s="609"/>
      <c r="Z251" s="609"/>
      <c r="AA251" s="609"/>
      <c r="AB251" s="609"/>
      <c r="AC251" s="609"/>
      <c r="AD251" s="609"/>
      <c r="AE251" s="609"/>
      <c r="AF251" s="609"/>
      <c r="AG251" s="609"/>
      <c r="AH251" s="609"/>
      <c r="AI251" s="609"/>
      <c r="AJ251" s="609"/>
      <c r="AK251" s="609"/>
      <c r="AL251" s="609"/>
      <c r="AM251" s="609"/>
      <c r="AN251" s="609"/>
      <c r="AO251" s="609"/>
    </row>
    <row r="252" spans="4:41" ht="30.25" customHeight="1" x14ac:dyDescent="0.25">
      <c r="O252" s="576" t="s">
        <v>2973</v>
      </c>
      <c r="P252" s="603"/>
      <c r="Q252" s="609"/>
      <c r="R252" s="609"/>
      <c r="S252" s="609"/>
      <c r="T252" s="609"/>
      <c r="U252" s="609"/>
      <c r="V252" s="609"/>
      <c r="W252" s="609"/>
      <c r="X252" s="609"/>
      <c r="Y252" s="609"/>
      <c r="Z252" s="609"/>
      <c r="AA252" s="609"/>
      <c r="AB252" s="609"/>
      <c r="AC252" s="609"/>
      <c r="AD252" s="609"/>
      <c r="AE252" s="609"/>
      <c r="AF252" s="609"/>
      <c r="AG252" s="609"/>
      <c r="AH252" s="609"/>
      <c r="AI252" s="609"/>
      <c r="AJ252" s="609"/>
      <c r="AK252" s="609"/>
      <c r="AL252" s="609"/>
      <c r="AM252" s="609"/>
      <c r="AN252" s="609"/>
      <c r="AO252" s="609"/>
    </row>
    <row r="253" spans="4:41" ht="30.25" customHeight="1" x14ac:dyDescent="0.25">
      <c r="O253" s="576" t="s">
        <v>2973</v>
      </c>
      <c r="P253" s="601"/>
      <c r="Q253" s="609"/>
      <c r="R253" s="609"/>
      <c r="S253" s="609"/>
      <c r="T253" s="609"/>
      <c r="U253" s="609"/>
      <c r="V253" s="609"/>
      <c r="W253" s="609"/>
      <c r="X253" s="609"/>
      <c r="Y253" s="609"/>
      <c r="Z253" s="609"/>
      <c r="AA253" s="609"/>
      <c r="AB253" s="609"/>
      <c r="AC253" s="609"/>
      <c r="AD253" s="609"/>
      <c r="AE253" s="609"/>
      <c r="AF253" s="609"/>
      <c r="AG253" s="609"/>
      <c r="AH253" s="609"/>
      <c r="AI253" s="609"/>
      <c r="AJ253" s="609"/>
      <c r="AK253" s="609"/>
      <c r="AL253" s="609"/>
      <c r="AM253" s="609"/>
      <c r="AN253" s="609"/>
      <c r="AO253" s="609"/>
    </row>
    <row r="254" spans="4:41" ht="30.25" customHeight="1" x14ac:dyDescent="0.25">
      <c r="O254" s="576" t="s">
        <v>2973</v>
      </c>
      <c r="P254" s="603"/>
      <c r="Q254" s="609"/>
      <c r="R254" s="609"/>
      <c r="S254" s="609"/>
      <c r="T254" s="609"/>
      <c r="U254" s="609"/>
      <c r="V254" s="609"/>
      <c r="W254" s="609"/>
      <c r="X254" s="609"/>
      <c r="Y254" s="609"/>
      <c r="Z254" s="609"/>
      <c r="AA254" s="609"/>
      <c r="AB254" s="609"/>
      <c r="AC254" s="609"/>
      <c r="AD254" s="609"/>
      <c r="AE254" s="609"/>
      <c r="AF254" s="609"/>
      <c r="AG254" s="609"/>
      <c r="AH254" s="609"/>
      <c r="AI254" s="609"/>
      <c r="AJ254" s="609"/>
      <c r="AK254" s="609"/>
      <c r="AL254" s="609"/>
      <c r="AM254" s="609"/>
      <c r="AN254" s="609"/>
      <c r="AO254" s="609"/>
    </row>
    <row r="255" spans="4:41" ht="30.25" customHeight="1" x14ac:dyDescent="0.25">
      <c r="O255" s="576" t="s">
        <v>2973</v>
      </c>
      <c r="P255" s="603"/>
      <c r="Q255" s="609"/>
      <c r="R255" s="609"/>
      <c r="S255" s="609"/>
      <c r="T255" s="609"/>
      <c r="U255" s="609"/>
      <c r="V255" s="609"/>
      <c r="W255" s="609"/>
      <c r="X255" s="609"/>
      <c r="Y255" s="609"/>
      <c r="Z255" s="609"/>
      <c r="AA255" s="609"/>
      <c r="AB255" s="609"/>
      <c r="AC255" s="609"/>
      <c r="AD255" s="609"/>
      <c r="AE255" s="609"/>
      <c r="AF255" s="609"/>
      <c r="AG255" s="609"/>
      <c r="AH255" s="609"/>
      <c r="AI255" s="609"/>
      <c r="AJ255" s="609"/>
      <c r="AK255" s="609"/>
      <c r="AL255" s="609"/>
      <c r="AM255" s="609"/>
      <c r="AN255" s="609"/>
      <c r="AO255" s="609"/>
    </row>
    <row r="256" spans="4:41" ht="30.25" customHeight="1" x14ac:dyDescent="0.25">
      <c r="O256" s="576" t="s">
        <v>2973</v>
      </c>
      <c r="P256" s="603"/>
      <c r="Q256" s="609"/>
      <c r="R256" s="609"/>
      <c r="S256" s="609"/>
      <c r="T256" s="609"/>
      <c r="U256" s="609"/>
      <c r="V256" s="609"/>
      <c r="W256" s="609"/>
      <c r="X256" s="609"/>
      <c r="Y256" s="609"/>
      <c r="Z256" s="609"/>
      <c r="AA256" s="609"/>
      <c r="AB256" s="609"/>
      <c r="AC256" s="609"/>
      <c r="AD256" s="609"/>
      <c r="AE256" s="609"/>
      <c r="AF256" s="609"/>
      <c r="AG256" s="609"/>
      <c r="AH256" s="609"/>
      <c r="AI256" s="609"/>
      <c r="AJ256" s="609"/>
      <c r="AK256" s="609"/>
      <c r="AL256" s="609"/>
      <c r="AM256" s="609"/>
      <c r="AN256" s="609"/>
      <c r="AO256" s="609"/>
    </row>
    <row r="257" spans="15:41" ht="30.25" customHeight="1" x14ac:dyDescent="0.25">
      <c r="O257" s="576" t="s">
        <v>2973</v>
      </c>
      <c r="P257" s="603"/>
      <c r="Q257" s="609"/>
      <c r="R257" s="609"/>
      <c r="S257" s="609"/>
      <c r="T257" s="609"/>
      <c r="U257" s="609"/>
      <c r="V257" s="609"/>
      <c r="W257" s="609"/>
      <c r="X257" s="609"/>
      <c r="Y257" s="609"/>
      <c r="Z257" s="609"/>
      <c r="AA257" s="609"/>
      <c r="AB257" s="609"/>
      <c r="AC257" s="609"/>
      <c r="AD257" s="609"/>
      <c r="AE257" s="609"/>
      <c r="AF257" s="609"/>
      <c r="AG257" s="609"/>
      <c r="AH257" s="609"/>
      <c r="AI257" s="609"/>
      <c r="AJ257" s="609"/>
      <c r="AK257" s="609"/>
      <c r="AL257" s="609"/>
      <c r="AM257" s="609"/>
      <c r="AN257" s="609"/>
      <c r="AO257" s="609"/>
    </row>
    <row r="258" spans="15:41" ht="30.25" customHeight="1" x14ac:dyDescent="0.25">
      <c r="O258" s="576" t="s">
        <v>2973</v>
      </c>
      <c r="P258" s="603"/>
      <c r="Q258" s="609"/>
      <c r="R258" s="609"/>
      <c r="S258" s="609"/>
      <c r="T258" s="609"/>
      <c r="U258" s="609"/>
      <c r="V258" s="609"/>
      <c r="W258" s="609"/>
      <c r="X258" s="609"/>
      <c r="Y258" s="609"/>
      <c r="Z258" s="609"/>
      <c r="AA258" s="609"/>
      <c r="AB258" s="609"/>
      <c r="AC258" s="609"/>
      <c r="AD258" s="609"/>
      <c r="AE258" s="609"/>
      <c r="AF258" s="609"/>
      <c r="AG258" s="609"/>
      <c r="AH258" s="609"/>
      <c r="AI258" s="609"/>
      <c r="AJ258" s="609"/>
      <c r="AK258" s="609"/>
      <c r="AL258" s="609"/>
      <c r="AM258" s="609"/>
      <c r="AN258" s="609"/>
      <c r="AO258" s="609"/>
    </row>
    <row r="259" spans="15:41" ht="30.25" customHeight="1" x14ac:dyDescent="0.25">
      <c r="O259" s="576" t="s">
        <v>2973</v>
      </c>
      <c r="P259" s="603"/>
      <c r="Q259" s="609"/>
      <c r="R259" s="609"/>
      <c r="S259" s="609"/>
      <c r="T259" s="609"/>
      <c r="U259" s="609"/>
      <c r="V259" s="609"/>
      <c r="W259" s="609"/>
      <c r="X259" s="609"/>
      <c r="Y259" s="609"/>
      <c r="Z259" s="609"/>
      <c r="AA259" s="609"/>
      <c r="AB259" s="609"/>
      <c r="AC259" s="609"/>
      <c r="AD259" s="609"/>
      <c r="AE259" s="609"/>
      <c r="AF259" s="609"/>
      <c r="AG259" s="609"/>
      <c r="AH259" s="609"/>
      <c r="AI259" s="609"/>
      <c r="AJ259" s="609"/>
      <c r="AK259" s="609"/>
      <c r="AL259" s="609"/>
      <c r="AM259" s="609"/>
      <c r="AN259" s="609"/>
      <c r="AO259" s="609"/>
    </row>
    <row r="260" spans="15:41" ht="30.25" customHeight="1" x14ac:dyDescent="0.25">
      <c r="O260" s="576" t="s">
        <v>2973</v>
      </c>
      <c r="P260" s="603"/>
      <c r="Q260" s="609"/>
      <c r="R260" s="609"/>
      <c r="S260" s="609"/>
      <c r="T260" s="609"/>
      <c r="U260" s="609"/>
      <c r="V260" s="609"/>
      <c r="W260" s="609"/>
      <c r="X260" s="609"/>
      <c r="Y260" s="609"/>
      <c r="Z260" s="609"/>
      <c r="AA260" s="609"/>
      <c r="AB260" s="609"/>
      <c r="AC260" s="609"/>
      <c r="AD260" s="609"/>
      <c r="AE260" s="609"/>
      <c r="AF260" s="609"/>
      <c r="AG260" s="609"/>
      <c r="AH260" s="609"/>
      <c r="AI260" s="609"/>
      <c r="AJ260" s="609"/>
      <c r="AK260" s="609"/>
      <c r="AL260" s="609"/>
      <c r="AM260" s="609"/>
      <c r="AN260" s="609"/>
      <c r="AO260" s="609"/>
    </row>
    <row r="261" spans="15:41" ht="30.25" customHeight="1" x14ac:dyDescent="0.25">
      <c r="O261" s="576" t="s">
        <v>2973</v>
      </c>
      <c r="P261" s="603"/>
      <c r="Q261" s="609"/>
      <c r="R261" s="609"/>
      <c r="S261" s="609"/>
      <c r="T261" s="609"/>
      <c r="U261" s="609"/>
      <c r="V261" s="609"/>
      <c r="W261" s="609"/>
      <c r="X261" s="609"/>
      <c r="Y261" s="609"/>
      <c r="Z261" s="609"/>
      <c r="AA261" s="609"/>
      <c r="AB261" s="609"/>
      <c r="AC261" s="609"/>
      <c r="AD261" s="609"/>
      <c r="AE261" s="609"/>
      <c r="AF261" s="609"/>
      <c r="AG261" s="609"/>
      <c r="AH261" s="609"/>
      <c r="AI261" s="609"/>
      <c r="AJ261" s="609"/>
      <c r="AK261" s="609"/>
      <c r="AL261" s="609"/>
      <c r="AM261" s="609"/>
      <c r="AN261" s="609"/>
      <c r="AO261" s="609"/>
    </row>
    <row r="262" spans="15:41" ht="30.25" customHeight="1" x14ac:dyDescent="0.25">
      <c r="O262" s="576"/>
      <c r="P262" s="603"/>
      <c r="Q262" s="609"/>
      <c r="R262" s="609"/>
      <c r="S262" s="609"/>
      <c r="T262" s="609"/>
      <c r="U262" s="609"/>
      <c r="V262" s="609"/>
      <c r="W262" s="609"/>
      <c r="X262" s="609"/>
      <c r="Y262" s="609"/>
      <c r="Z262" s="609"/>
      <c r="AA262" s="609"/>
      <c r="AB262" s="609"/>
      <c r="AC262" s="609"/>
      <c r="AD262" s="609"/>
      <c r="AE262" s="609"/>
      <c r="AF262" s="609"/>
      <c r="AG262" s="609"/>
      <c r="AH262" s="609"/>
      <c r="AI262" s="609"/>
      <c r="AJ262" s="609"/>
      <c r="AK262" s="609"/>
      <c r="AL262" s="609"/>
      <c r="AM262" s="609"/>
      <c r="AN262" s="609"/>
      <c r="AO262" s="609"/>
    </row>
    <row r="263" spans="15:41" ht="30.25" customHeight="1" x14ac:dyDescent="0.25">
      <c r="O263" s="576" t="s">
        <v>2973</v>
      </c>
      <c r="P263" s="603"/>
      <c r="Q263" s="609"/>
      <c r="R263" s="609"/>
      <c r="S263" s="609"/>
      <c r="T263" s="609"/>
      <c r="U263" s="609"/>
      <c r="V263" s="609"/>
      <c r="W263" s="609"/>
      <c r="X263" s="609"/>
      <c r="Y263" s="609"/>
      <c r="Z263" s="609"/>
      <c r="AA263" s="609"/>
      <c r="AB263" s="609"/>
      <c r="AC263" s="609"/>
      <c r="AD263" s="609"/>
      <c r="AE263" s="609"/>
      <c r="AF263" s="609"/>
      <c r="AG263" s="609"/>
      <c r="AH263" s="609"/>
      <c r="AI263" s="609"/>
      <c r="AJ263" s="609"/>
      <c r="AK263" s="609"/>
      <c r="AL263" s="609"/>
      <c r="AM263" s="609"/>
      <c r="AN263" s="609"/>
      <c r="AO263" s="609"/>
    </row>
    <row r="264" spans="15:41" ht="30.25" customHeight="1" x14ac:dyDescent="0.25">
      <c r="O264" s="576" t="s">
        <v>2973</v>
      </c>
      <c r="P264" s="603"/>
      <c r="Q264" s="609"/>
      <c r="R264" s="609"/>
      <c r="S264" s="609"/>
      <c r="T264" s="609"/>
      <c r="U264" s="609"/>
      <c r="V264" s="609"/>
      <c r="W264" s="609"/>
      <c r="X264" s="609"/>
      <c r="Y264" s="609"/>
      <c r="Z264" s="609"/>
      <c r="AA264" s="609"/>
      <c r="AB264" s="609"/>
      <c r="AC264" s="609"/>
      <c r="AD264" s="609"/>
      <c r="AE264" s="609"/>
      <c r="AF264" s="609"/>
      <c r="AG264" s="609"/>
      <c r="AH264" s="609"/>
      <c r="AI264" s="609"/>
      <c r="AJ264" s="609"/>
      <c r="AK264" s="609"/>
      <c r="AL264" s="609"/>
      <c r="AM264" s="609"/>
      <c r="AN264" s="609"/>
      <c r="AO264" s="609"/>
    </row>
    <row r="265" spans="15:41" ht="30.25" customHeight="1" x14ac:dyDescent="0.25">
      <c r="O265" s="576" t="s">
        <v>2973</v>
      </c>
      <c r="P265" s="603"/>
      <c r="Q265" s="609"/>
      <c r="R265" s="609"/>
      <c r="S265" s="609"/>
      <c r="T265" s="609"/>
      <c r="U265" s="609"/>
      <c r="V265" s="609"/>
      <c r="W265" s="609"/>
      <c r="X265" s="609"/>
      <c r="Y265" s="609"/>
      <c r="Z265" s="609"/>
      <c r="AA265" s="609"/>
      <c r="AB265" s="609"/>
      <c r="AC265" s="609"/>
      <c r="AD265" s="609"/>
      <c r="AE265" s="609"/>
      <c r="AF265" s="609"/>
      <c r="AG265" s="609"/>
      <c r="AH265" s="609"/>
      <c r="AI265" s="609"/>
      <c r="AJ265" s="609"/>
      <c r="AK265" s="609"/>
      <c r="AL265" s="609"/>
      <c r="AM265" s="609"/>
      <c r="AN265" s="609"/>
      <c r="AO265" s="609"/>
    </row>
    <row r="266" spans="15:41" ht="30.25" customHeight="1" x14ac:dyDescent="0.25">
      <c r="O266" s="576" t="s">
        <v>2973</v>
      </c>
      <c r="P266" s="603"/>
      <c r="Q266" s="609"/>
      <c r="R266" s="609"/>
      <c r="S266" s="609"/>
      <c r="T266" s="609"/>
      <c r="U266" s="609"/>
      <c r="V266" s="609"/>
      <c r="W266" s="609"/>
      <c r="X266" s="609"/>
      <c r="Y266" s="609"/>
      <c r="Z266" s="609"/>
      <c r="AA266" s="609"/>
      <c r="AB266" s="609"/>
      <c r="AC266" s="609"/>
      <c r="AD266" s="609"/>
      <c r="AE266" s="609"/>
      <c r="AF266" s="609"/>
      <c r="AG266" s="609"/>
      <c r="AH266" s="609"/>
      <c r="AI266" s="609"/>
      <c r="AJ266" s="609"/>
      <c r="AK266" s="609"/>
      <c r="AL266" s="609"/>
      <c r="AM266" s="609"/>
      <c r="AN266" s="609"/>
      <c r="AO266" s="609"/>
    </row>
    <row r="267" spans="15:41" ht="30.25" customHeight="1" x14ac:dyDescent="0.25">
      <c r="O267" s="576" t="s">
        <v>2973</v>
      </c>
      <c r="P267" s="603"/>
      <c r="Q267" s="609"/>
      <c r="R267" s="609"/>
      <c r="S267" s="609"/>
      <c r="T267" s="609"/>
      <c r="U267" s="609"/>
      <c r="V267" s="609"/>
      <c r="W267" s="609"/>
      <c r="X267" s="609"/>
      <c r="Y267" s="609"/>
      <c r="Z267" s="609"/>
      <c r="AA267" s="609"/>
      <c r="AB267" s="609"/>
      <c r="AC267" s="609"/>
      <c r="AD267" s="609"/>
      <c r="AE267" s="609"/>
      <c r="AF267" s="609"/>
      <c r="AG267" s="609"/>
      <c r="AH267" s="609"/>
      <c r="AI267" s="609"/>
      <c r="AJ267" s="609"/>
      <c r="AK267" s="609"/>
      <c r="AL267" s="609"/>
      <c r="AM267" s="609"/>
      <c r="AN267" s="609"/>
      <c r="AO267" s="609"/>
    </row>
    <row r="268" spans="15:41" x14ac:dyDescent="0.2">
      <c r="P268" s="609"/>
      <c r="Q268" s="609"/>
      <c r="R268" s="609"/>
      <c r="S268" s="609"/>
      <c r="T268" s="609"/>
      <c r="U268" s="609"/>
      <c r="V268" s="609"/>
      <c r="W268" s="609"/>
      <c r="X268" s="609"/>
      <c r="Y268" s="609"/>
      <c r="Z268" s="609"/>
      <c r="AA268" s="609"/>
      <c r="AB268" s="609"/>
      <c r="AC268" s="609"/>
      <c r="AD268" s="609"/>
      <c r="AE268" s="609"/>
      <c r="AF268" s="609"/>
      <c r="AG268" s="609"/>
      <c r="AH268" s="609"/>
      <c r="AI268" s="609"/>
      <c r="AJ268" s="609"/>
      <c r="AK268" s="609"/>
      <c r="AL268" s="609"/>
      <c r="AM268" s="609"/>
      <c r="AN268" s="609"/>
      <c r="AO268" s="609"/>
    </row>
    <row r="269" spans="15:41" x14ac:dyDescent="0.2">
      <c r="P269" s="609"/>
      <c r="Q269" s="609"/>
      <c r="R269" s="609"/>
      <c r="S269" s="609"/>
      <c r="T269" s="609"/>
      <c r="U269" s="609"/>
      <c r="V269" s="609"/>
      <c r="W269" s="609"/>
      <c r="X269" s="609"/>
      <c r="Y269" s="609"/>
      <c r="Z269" s="609"/>
      <c r="AA269" s="609"/>
      <c r="AB269" s="609"/>
      <c r="AC269" s="609"/>
      <c r="AD269" s="609"/>
      <c r="AE269" s="609"/>
      <c r="AF269" s="609"/>
      <c r="AG269" s="609"/>
      <c r="AH269" s="609"/>
      <c r="AI269" s="609"/>
      <c r="AJ269" s="609"/>
      <c r="AK269" s="609"/>
      <c r="AL269" s="609"/>
      <c r="AM269" s="609"/>
      <c r="AN269" s="609"/>
      <c r="AO269" s="609"/>
    </row>
    <row r="270" spans="15:41" x14ac:dyDescent="0.2">
      <c r="P270" s="609"/>
      <c r="Q270" s="609"/>
      <c r="R270" s="609"/>
      <c r="S270" s="609"/>
      <c r="T270" s="609"/>
      <c r="U270" s="609"/>
      <c r="V270" s="609"/>
      <c r="W270" s="609"/>
      <c r="X270" s="609"/>
      <c r="Y270" s="609"/>
      <c r="Z270" s="609"/>
      <c r="AA270" s="609"/>
      <c r="AB270" s="609"/>
      <c r="AC270" s="609"/>
      <c r="AD270" s="609"/>
      <c r="AE270" s="609"/>
      <c r="AF270" s="609"/>
      <c r="AG270" s="609"/>
      <c r="AH270" s="609"/>
      <c r="AI270" s="609"/>
      <c r="AJ270" s="609"/>
      <c r="AK270" s="609"/>
      <c r="AL270" s="609"/>
      <c r="AM270" s="609"/>
      <c r="AN270" s="609"/>
      <c r="AO270" s="609"/>
    </row>
    <row r="271" spans="15:41" x14ac:dyDescent="0.2">
      <c r="P271" s="609"/>
      <c r="Q271" s="609"/>
      <c r="R271" s="609"/>
      <c r="S271" s="609"/>
      <c r="T271" s="609"/>
      <c r="U271" s="609"/>
      <c r="V271" s="609"/>
      <c r="W271" s="609"/>
      <c r="X271" s="609"/>
      <c r="Y271" s="609"/>
      <c r="Z271" s="609"/>
      <c r="AA271" s="609"/>
      <c r="AB271" s="609"/>
      <c r="AC271" s="609"/>
      <c r="AD271" s="609"/>
      <c r="AE271" s="609"/>
      <c r="AF271" s="609"/>
      <c r="AG271" s="609"/>
      <c r="AH271" s="609"/>
      <c r="AI271" s="609"/>
      <c r="AJ271" s="609"/>
      <c r="AK271" s="609"/>
      <c r="AL271" s="609"/>
      <c r="AM271" s="609"/>
      <c r="AN271" s="609"/>
      <c r="AO271" s="609"/>
    </row>
    <row r="272" spans="15:41" x14ac:dyDescent="0.2">
      <c r="P272" s="609"/>
      <c r="Q272" s="609"/>
      <c r="R272" s="609"/>
      <c r="S272" s="609"/>
      <c r="T272" s="609"/>
      <c r="U272" s="609"/>
      <c r="V272" s="609"/>
      <c r="W272" s="609"/>
      <c r="X272" s="609"/>
      <c r="Y272" s="609"/>
      <c r="Z272" s="609"/>
      <c r="AA272" s="609"/>
      <c r="AB272" s="609"/>
      <c r="AC272" s="609"/>
      <c r="AD272" s="609"/>
      <c r="AE272" s="609"/>
      <c r="AF272" s="609"/>
      <c r="AG272" s="609"/>
      <c r="AH272" s="609"/>
      <c r="AI272" s="609"/>
      <c r="AJ272" s="609"/>
      <c r="AK272" s="609"/>
      <c r="AL272" s="609"/>
      <c r="AM272" s="609"/>
      <c r="AN272" s="609"/>
      <c r="AO272" s="609"/>
    </row>
    <row r="273" spans="3:41" x14ac:dyDescent="0.2">
      <c r="P273" s="609"/>
      <c r="Q273" s="609"/>
      <c r="R273" s="609"/>
      <c r="S273" s="609"/>
      <c r="T273" s="609"/>
      <c r="U273" s="609"/>
      <c r="V273" s="609"/>
      <c r="W273" s="609"/>
      <c r="X273" s="609"/>
      <c r="Y273" s="609"/>
      <c r="Z273" s="609"/>
      <c r="AA273" s="609"/>
      <c r="AB273" s="609"/>
      <c r="AC273" s="609"/>
      <c r="AD273" s="609"/>
      <c r="AE273" s="609"/>
      <c r="AF273" s="609"/>
      <c r="AG273" s="609"/>
      <c r="AH273" s="609"/>
      <c r="AI273" s="609"/>
      <c r="AJ273" s="609"/>
      <c r="AK273" s="609"/>
      <c r="AL273" s="609"/>
      <c r="AM273" s="609"/>
      <c r="AN273" s="609"/>
      <c r="AO273" s="609"/>
    </row>
    <row r="274" spans="3:41" x14ac:dyDescent="0.2">
      <c r="P274" s="609"/>
      <c r="Q274" s="609"/>
      <c r="R274" s="610"/>
      <c r="S274" s="610"/>
      <c r="T274" s="610"/>
      <c r="U274" s="610"/>
      <c r="V274" s="609"/>
      <c r="W274" s="609"/>
      <c r="X274" s="609"/>
      <c r="Y274" s="609"/>
      <c r="Z274" s="609"/>
      <c r="AA274" s="609"/>
      <c r="AB274" s="609"/>
      <c r="AC274" s="609"/>
      <c r="AD274" s="609"/>
      <c r="AE274" s="609"/>
      <c r="AF274" s="609"/>
      <c r="AG274" s="609"/>
      <c r="AH274" s="609"/>
      <c r="AI274" s="609"/>
      <c r="AJ274" s="609"/>
      <c r="AK274" s="609"/>
      <c r="AL274" s="609"/>
      <c r="AM274" s="609"/>
      <c r="AN274" s="609"/>
      <c r="AO274" s="609"/>
    </row>
    <row r="275" spans="3:41" x14ac:dyDescent="0.2">
      <c r="P275" s="609"/>
      <c r="Q275" s="609"/>
      <c r="R275" s="609"/>
      <c r="S275" s="609"/>
      <c r="T275" s="609"/>
      <c r="U275" s="609"/>
      <c r="V275" s="609"/>
      <c r="W275" s="609"/>
      <c r="X275" s="609"/>
      <c r="Y275" s="609"/>
      <c r="Z275" s="609"/>
      <c r="AA275" s="609"/>
      <c r="AB275" s="609"/>
      <c r="AC275" s="609"/>
      <c r="AD275" s="609"/>
      <c r="AE275" s="609"/>
      <c r="AF275" s="609"/>
      <c r="AG275" s="609"/>
      <c r="AH275" s="609"/>
      <c r="AI275" s="609"/>
      <c r="AJ275" s="609"/>
      <c r="AK275" s="609"/>
      <c r="AL275" s="609"/>
      <c r="AM275" s="609"/>
      <c r="AN275" s="609"/>
      <c r="AO275" s="609"/>
    </row>
    <row r="276" spans="3:41" x14ac:dyDescent="0.2">
      <c r="P276" s="609"/>
      <c r="Q276" s="609"/>
      <c r="R276" s="609"/>
      <c r="S276" s="609"/>
      <c r="T276" s="609"/>
      <c r="U276" s="609"/>
      <c r="V276" s="609"/>
      <c r="W276" s="609"/>
      <c r="X276" s="609"/>
      <c r="Y276" s="609"/>
      <c r="Z276" s="609"/>
      <c r="AA276" s="609"/>
      <c r="AB276" s="609"/>
      <c r="AC276" s="609"/>
      <c r="AD276" s="609"/>
      <c r="AE276" s="609"/>
      <c r="AF276" s="609"/>
      <c r="AG276" s="609"/>
      <c r="AH276" s="609"/>
      <c r="AI276" s="609"/>
      <c r="AJ276" s="609"/>
      <c r="AK276" s="609"/>
      <c r="AL276" s="609"/>
      <c r="AM276" s="609"/>
      <c r="AN276" s="609"/>
      <c r="AO276" s="609"/>
    </row>
    <row r="277" spans="3:41" x14ac:dyDescent="0.2">
      <c r="P277" s="609"/>
      <c r="Q277" s="609"/>
      <c r="R277" s="609"/>
      <c r="S277" s="609"/>
      <c r="T277" s="609"/>
      <c r="U277" s="609"/>
      <c r="V277" s="609"/>
      <c r="W277" s="609"/>
      <c r="X277" s="609"/>
      <c r="Y277" s="609"/>
      <c r="Z277" s="609"/>
      <c r="AA277" s="609"/>
      <c r="AB277" s="609"/>
      <c r="AC277" s="609"/>
      <c r="AD277" s="609"/>
      <c r="AE277" s="609"/>
      <c r="AF277" s="609"/>
      <c r="AG277" s="609"/>
      <c r="AH277" s="609"/>
      <c r="AI277" s="609"/>
      <c r="AJ277" s="609"/>
      <c r="AK277" s="609"/>
      <c r="AL277" s="609"/>
      <c r="AM277" s="609"/>
      <c r="AN277" s="609"/>
      <c r="AO277" s="609"/>
    </row>
    <row r="278" spans="3:41" x14ac:dyDescent="0.2">
      <c r="P278" s="609"/>
      <c r="Q278" s="609"/>
      <c r="R278" s="609"/>
      <c r="S278" s="609"/>
      <c r="T278" s="609"/>
      <c r="U278" s="609"/>
      <c r="V278" s="609"/>
      <c r="W278" s="609"/>
      <c r="X278" s="609"/>
      <c r="Y278" s="609"/>
      <c r="Z278" s="609"/>
      <c r="AA278" s="609"/>
      <c r="AB278" s="609"/>
      <c r="AC278" s="609"/>
      <c r="AD278" s="609"/>
      <c r="AE278" s="609"/>
      <c r="AF278" s="609"/>
      <c r="AG278" s="609"/>
      <c r="AH278" s="609"/>
      <c r="AI278" s="609"/>
      <c r="AJ278" s="609"/>
      <c r="AK278" s="609"/>
      <c r="AL278" s="609"/>
      <c r="AM278" s="609"/>
      <c r="AN278" s="609"/>
      <c r="AO278" s="609"/>
    </row>
    <row r="279" spans="3:41" x14ac:dyDescent="0.2">
      <c r="P279" s="609"/>
      <c r="Q279" s="609"/>
      <c r="R279" s="609"/>
      <c r="S279" s="609"/>
      <c r="T279" s="609"/>
      <c r="U279" s="609"/>
      <c r="V279" s="609"/>
      <c r="W279" s="609"/>
      <c r="X279" s="609"/>
      <c r="Y279" s="609"/>
      <c r="Z279" s="609"/>
      <c r="AA279" s="609"/>
      <c r="AB279" s="609"/>
      <c r="AC279" s="609"/>
      <c r="AD279" s="609"/>
      <c r="AE279" s="609"/>
      <c r="AF279" s="609"/>
      <c r="AG279" s="609"/>
      <c r="AH279" s="609"/>
      <c r="AI279" s="609"/>
      <c r="AJ279" s="609"/>
      <c r="AK279" s="609"/>
      <c r="AL279" s="609"/>
      <c r="AM279" s="609"/>
      <c r="AN279" s="609"/>
      <c r="AO279" s="609"/>
    </row>
    <row r="280" spans="3:41" x14ac:dyDescent="0.2">
      <c r="P280" s="609"/>
      <c r="Q280" s="609"/>
      <c r="R280" s="609"/>
      <c r="S280" s="609"/>
      <c r="T280" s="609"/>
      <c r="U280" s="609"/>
      <c r="V280" s="609"/>
      <c r="W280" s="609"/>
      <c r="X280" s="609"/>
      <c r="Y280" s="609"/>
      <c r="Z280" s="609"/>
      <c r="AA280" s="609"/>
      <c r="AB280" s="609"/>
      <c r="AC280" s="609"/>
      <c r="AD280" s="609"/>
      <c r="AE280" s="609"/>
      <c r="AF280" s="609"/>
      <c r="AG280" s="609"/>
      <c r="AH280" s="609"/>
      <c r="AI280" s="609"/>
      <c r="AJ280" s="609"/>
      <c r="AK280" s="609"/>
      <c r="AL280" s="609"/>
      <c r="AM280" s="609"/>
      <c r="AN280" s="609"/>
      <c r="AO280" s="609"/>
    </row>
    <row r="281" spans="3:41" x14ac:dyDescent="0.2">
      <c r="P281" s="609"/>
      <c r="Q281" s="609"/>
      <c r="R281" s="609"/>
      <c r="S281" s="609"/>
      <c r="T281" s="609"/>
      <c r="U281" s="609"/>
      <c r="V281" s="609"/>
      <c r="W281" s="609"/>
      <c r="X281" s="609"/>
      <c r="Y281" s="609"/>
      <c r="Z281" s="609"/>
      <c r="AA281" s="609"/>
      <c r="AB281" s="609"/>
      <c r="AC281" s="609"/>
      <c r="AD281" s="609"/>
      <c r="AE281" s="609"/>
      <c r="AF281" s="609"/>
      <c r="AG281" s="609"/>
      <c r="AH281" s="609"/>
      <c r="AI281" s="609"/>
      <c r="AJ281" s="609"/>
      <c r="AK281" s="609"/>
      <c r="AL281" s="609"/>
      <c r="AM281" s="609"/>
      <c r="AN281" s="609"/>
      <c r="AO281" s="609"/>
    </row>
    <row r="282" spans="3:41" x14ac:dyDescent="0.2">
      <c r="P282" s="609"/>
      <c r="Q282" s="609"/>
      <c r="R282" s="609"/>
      <c r="S282" s="609"/>
      <c r="T282" s="609"/>
      <c r="U282" s="609"/>
      <c r="V282" s="609"/>
      <c r="W282" s="609"/>
      <c r="X282" s="609"/>
      <c r="Y282" s="609"/>
      <c r="Z282" s="609"/>
      <c r="AA282" s="609"/>
      <c r="AB282" s="609"/>
      <c r="AC282" s="609"/>
      <c r="AD282" s="609"/>
      <c r="AE282" s="609"/>
      <c r="AF282" s="609"/>
      <c r="AG282" s="609"/>
      <c r="AH282" s="609"/>
      <c r="AI282" s="609"/>
      <c r="AJ282" s="609"/>
      <c r="AK282" s="609"/>
      <c r="AL282" s="609"/>
      <c r="AM282" s="609"/>
      <c r="AN282" s="609"/>
      <c r="AO282" s="609"/>
    </row>
    <row r="283" spans="3:41" x14ac:dyDescent="0.2">
      <c r="P283" s="609"/>
      <c r="Q283" s="609"/>
      <c r="R283" s="609"/>
      <c r="S283" s="609"/>
      <c r="T283" s="609"/>
      <c r="U283" s="609"/>
      <c r="V283" s="609"/>
      <c r="W283" s="609"/>
      <c r="X283" s="609"/>
      <c r="Y283" s="609"/>
      <c r="Z283" s="609"/>
      <c r="AA283" s="609"/>
      <c r="AB283" s="609"/>
      <c r="AC283" s="609"/>
      <c r="AD283" s="609"/>
      <c r="AE283" s="609"/>
      <c r="AF283" s="609"/>
      <c r="AG283" s="609"/>
      <c r="AH283" s="609"/>
      <c r="AI283" s="609"/>
      <c r="AJ283" s="609"/>
      <c r="AK283" s="609"/>
      <c r="AL283" s="609"/>
      <c r="AM283" s="609"/>
      <c r="AN283" s="609"/>
      <c r="AO283" s="609"/>
    </row>
    <row r="284" spans="3:41" x14ac:dyDescent="0.2">
      <c r="P284" s="609"/>
      <c r="Q284" s="609"/>
      <c r="R284" s="609"/>
      <c r="S284" s="609"/>
      <c r="T284" s="609"/>
      <c r="U284" s="609"/>
      <c r="V284" s="609"/>
      <c r="W284" s="609"/>
      <c r="X284" s="609"/>
      <c r="Y284" s="609"/>
      <c r="Z284" s="609"/>
      <c r="AA284" s="609"/>
      <c r="AB284" s="609"/>
      <c r="AC284" s="609"/>
      <c r="AD284" s="609"/>
      <c r="AE284" s="609"/>
      <c r="AF284" s="609"/>
      <c r="AG284" s="609"/>
      <c r="AH284" s="609"/>
      <c r="AI284" s="609"/>
      <c r="AJ284" s="609"/>
      <c r="AK284" s="609"/>
      <c r="AL284" s="609"/>
      <c r="AM284" s="609"/>
      <c r="AN284" s="609"/>
      <c r="AO284" s="609"/>
    </row>
    <row r="285" spans="3:41" x14ac:dyDescent="0.2">
      <c r="P285" s="609"/>
      <c r="Q285" s="609"/>
      <c r="R285" s="609"/>
      <c r="S285" s="609"/>
      <c r="T285" s="609"/>
      <c r="U285" s="609"/>
      <c r="V285" s="609"/>
      <c r="W285" s="609"/>
      <c r="X285" s="609"/>
      <c r="Y285" s="609"/>
      <c r="Z285" s="609"/>
      <c r="AA285" s="609"/>
      <c r="AB285" s="609"/>
      <c r="AC285" s="609"/>
      <c r="AD285" s="609"/>
      <c r="AE285" s="609"/>
      <c r="AF285" s="609"/>
      <c r="AG285" s="609"/>
      <c r="AH285" s="609"/>
      <c r="AI285" s="609"/>
      <c r="AJ285" s="609"/>
      <c r="AK285" s="609"/>
      <c r="AL285" s="609"/>
      <c r="AM285" s="609"/>
      <c r="AN285" s="609"/>
      <c r="AO285" s="609"/>
    </row>
    <row r="286" spans="3:41" x14ac:dyDescent="0.2">
      <c r="C286" s="274"/>
      <c r="D286" s="274"/>
      <c r="E286" s="274"/>
      <c r="F286" s="274"/>
      <c r="G286" s="274"/>
      <c r="H286" s="274"/>
      <c r="I286" s="274"/>
      <c r="J286" s="274"/>
      <c r="K286" s="274"/>
      <c r="L286" s="274"/>
      <c r="M286" s="274"/>
      <c r="N286" s="274"/>
      <c r="P286" s="609"/>
      <c r="Q286" s="609"/>
      <c r="R286" s="609"/>
      <c r="S286" s="609"/>
      <c r="T286" s="609"/>
      <c r="U286" s="609"/>
      <c r="V286" s="609"/>
      <c r="W286" s="609"/>
      <c r="X286" s="609"/>
      <c r="Y286" s="609"/>
      <c r="Z286" s="609"/>
      <c r="AA286" s="609"/>
      <c r="AB286" s="609"/>
      <c r="AC286" s="609"/>
      <c r="AD286" s="609"/>
      <c r="AE286" s="609"/>
      <c r="AF286" s="609"/>
      <c r="AG286" s="609"/>
      <c r="AH286" s="609"/>
      <c r="AI286" s="609"/>
      <c r="AJ286" s="609"/>
      <c r="AK286" s="609"/>
      <c r="AL286" s="609"/>
      <c r="AM286" s="609"/>
      <c r="AN286" s="609"/>
      <c r="AO286" s="609"/>
    </row>
    <row r="287" spans="3:41" x14ac:dyDescent="0.2">
      <c r="P287" s="609"/>
      <c r="Q287" s="610"/>
      <c r="R287" s="612"/>
      <c r="S287" s="609"/>
      <c r="T287" s="609"/>
      <c r="U287" s="609"/>
      <c r="V287" s="609"/>
      <c r="W287" s="609"/>
      <c r="X287" s="609"/>
      <c r="Y287" s="609"/>
      <c r="Z287" s="609"/>
      <c r="AA287" s="609"/>
      <c r="AB287" s="609"/>
      <c r="AC287" s="609"/>
      <c r="AD287" s="609"/>
      <c r="AE287" s="609"/>
      <c r="AF287" s="609"/>
      <c r="AG287" s="609"/>
      <c r="AH287" s="609"/>
      <c r="AI287" s="609"/>
      <c r="AJ287" s="609"/>
      <c r="AK287" s="609"/>
      <c r="AL287" s="609"/>
      <c r="AM287" s="609"/>
      <c r="AN287" s="609"/>
      <c r="AO287" s="609"/>
    </row>
    <row r="288" spans="3:41" x14ac:dyDescent="0.2">
      <c r="P288" s="609"/>
      <c r="Q288" s="609"/>
      <c r="R288" s="609"/>
      <c r="S288" s="609"/>
      <c r="T288" s="609"/>
      <c r="U288" s="609"/>
      <c r="V288" s="609"/>
      <c r="W288" s="609"/>
      <c r="X288" s="609"/>
      <c r="Y288" s="609"/>
      <c r="Z288" s="609"/>
      <c r="AA288" s="609"/>
      <c r="AB288" s="609"/>
      <c r="AC288" s="609"/>
      <c r="AD288" s="609"/>
      <c r="AE288" s="609"/>
      <c r="AF288" s="609"/>
      <c r="AG288" s="609"/>
      <c r="AH288" s="609"/>
      <c r="AI288" s="609"/>
      <c r="AJ288" s="609"/>
      <c r="AK288" s="609"/>
      <c r="AL288" s="609"/>
      <c r="AM288" s="609"/>
      <c r="AN288" s="609"/>
      <c r="AO288" s="609"/>
    </row>
    <row r="289" spans="16:41" x14ac:dyDescent="0.2">
      <c r="P289" s="609"/>
      <c r="Q289" s="609"/>
      <c r="R289" s="609"/>
      <c r="S289" s="609"/>
      <c r="T289" s="609"/>
      <c r="U289" s="609"/>
      <c r="V289" s="609"/>
      <c r="W289" s="609"/>
      <c r="X289" s="609"/>
      <c r="Y289" s="609"/>
      <c r="Z289" s="609"/>
      <c r="AA289" s="609"/>
      <c r="AB289" s="609"/>
      <c r="AC289" s="609"/>
      <c r="AD289" s="609"/>
      <c r="AE289" s="609"/>
      <c r="AF289" s="609"/>
      <c r="AG289" s="609"/>
      <c r="AH289" s="609"/>
      <c r="AI289" s="609"/>
      <c r="AJ289" s="609"/>
      <c r="AK289" s="609"/>
      <c r="AL289" s="609"/>
      <c r="AM289" s="609"/>
      <c r="AN289" s="609"/>
      <c r="AO289" s="609"/>
    </row>
    <row r="290" spans="16:41" x14ac:dyDescent="0.2">
      <c r="P290" s="609"/>
      <c r="Q290" s="609"/>
      <c r="R290" s="609"/>
      <c r="S290" s="609"/>
      <c r="T290" s="609"/>
      <c r="U290" s="609"/>
      <c r="V290" s="609"/>
      <c r="W290" s="609"/>
      <c r="X290" s="609"/>
      <c r="Y290" s="609"/>
      <c r="Z290" s="609"/>
      <c r="AA290" s="609"/>
      <c r="AB290" s="609"/>
      <c r="AC290" s="609"/>
      <c r="AD290" s="609"/>
      <c r="AE290" s="609"/>
      <c r="AF290" s="609"/>
      <c r="AG290" s="609"/>
      <c r="AH290" s="609"/>
      <c r="AI290" s="609"/>
      <c r="AJ290" s="609"/>
      <c r="AK290" s="609"/>
      <c r="AL290" s="609"/>
      <c r="AM290" s="609"/>
      <c r="AN290" s="609"/>
      <c r="AO290" s="609"/>
    </row>
    <row r="291" spans="16:41" x14ac:dyDescent="0.2">
      <c r="P291" s="609"/>
      <c r="Q291" s="609"/>
      <c r="R291" s="609"/>
      <c r="S291" s="609"/>
      <c r="T291" s="609"/>
      <c r="U291" s="609"/>
      <c r="V291" s="609"/>
      <c r="W291" s="609"/>
      <c r="X291" s="609"/>
      <c r="Y291" s="609"/>
      <c r="Z291" s="609"/>
      <c r="AA291" s="609"/>
      <c r="AB291" s="609"/>
      <c r="AC291" s="609"/>
      <c r="AD291" s="609"/>
      <c r="AE291" s="609"/>
      <c r="AF291" s="609"/>
      <c r="AG291" s="609"/>
      <c r="AH291" s="609"/>
      <c r="AI291" s="609"/>
      <c r="AJ291" s="609"/>
      <c r="AK291" s="609"/>
      <c r="AL291" s="609"/>
      <c r="AM291" s="609"/>
      <c r="AN291" s="609"/>
      <c r="AO291" s="609"/>
    </row>
    <row r="292" spans="16:41" x14ac:dyDescent="0.2">
      <c r="P292" s="609"/>
      <c r="Q292" s="609"/>
      <c r="R292" s="609"/>
      <c r="S292" s="609"/>
      <c r="T292" s="609"/>
      <c r="U292" s="609"/>
      <c r="V292" s="609"/>
      <c r="W292" s="609"/>
      <c r="X292" s="609"/>
      <c r="Y292" s="609"/>
      <c r="Z292" s="609"/>
      <c r="AA292" s="609"/>
      <c r="AB292" s="609"/>
      <c r="AC292" s="609"/>
      <c r="AD292" s="609"/>
      <c r="AE292" s="609"/>
      <c r="AF292" s="609"/>
      <c r="AG292" s="609"/>
      <c r="AH292" s="609"/>
      <c r="AI292" s="609"/>
      <c r="AJ292" s="609"/>
      <c r="AK292" s="609"/>
      <c r="AL292" s="609"/>
      <c r="AM292" s="609"/>
      <c r="AN292" s="609"/>
      <c r="AO292" s="609"/>
    </row>
    <row r="293" spans="16:41" x14ac:dyDescent="0.2">
      <c r="P293" s="609"/>
      <c r="Q293" s="609"/>
      <c r="R293" s="609"/>
      <c r="S293" s="609"/>
      <c r="T293" s="609"/>
      <c r="U293" s="609"/>
      <c r="V293" s="609"/>
      <c r="W293" s="609"/>
      <c r="X293" s="609"/>
      <c r="Y293" s="609"/>
      <c r="Z293" s="609"/>
      <c r="AA293" s="609"/>
      <c r="AB293" s="609"/>
      <c r="AC293" s="609"/>
      <c r="AD293" s="609"/>
      <c r="AE293" s="609"/>
      <c r="AF293" s="609"/>
      <c r="AG293" s="609"/>
      <c r="AH293" s="609"/>
      <c r="AI293" s="609"/>
      <c r="AJ293" s="609"/>
      <c r="AK293" s="609"/>
      <c r="AL293" s="609"/>
      <c r="AM293" s="609"/>
      <c r="AN293" s="609"/>
      <c r="AO293" s="609"/>
    </row>
    <row r="294" spans="16:41" x14ac:dyDescent="0.2">
      <c r="P294" s="609"/>
      <c r="Q294" s="609"/>
      <c r="R294" s="609"/>
      <c r="S294" s="609"/>
      <c r="T294" s="609"/>
      <c r="U294" s="609"/>
      <c r="V294" s="609"/>
      <c r="W294" s="609"/>
      <c r="X294" s="609"/>
      <c r="Y294" s="609"/>
      <c r="Z294" s="609"/>
      <c r="AA294" s="609"/>
      <c r="AB294" s="609"/>
      <c r="AC294" s="609"/>
      <c r="AD294" s="609"/>
      <c r="AE294" s="609"/>
      <c r="AF294" s="609"/>
      <c r="AG294" s="609"/>
      <c r="AH294" s="609"/>
      <c r="AI294" s="609"/>
      <c r="AJ294" s="609"/>
      <c r="AK294" s="609"/>
      <c r="AL294" s="609"/>
      <c r="AM294" s="609"/>
      <c r="AN294" s="609"/>
      <c r="AO294" s="609"/>
    </row>
    <row r="295" spans="16:41" x14ac:dyDescent="0.2">
      <c r="P295" s="609"/>
      <c r="Q295" s="609"/>
      <c r="R295" s="609"/>
      <c r="S295" s="609"/>
      <c r="T295" s="609"/>
      <c r="U295" s="609"/>
      <c r="V295" s="609"/>
      <c r="W295" s="609"/>
      <c r="X295" s="609"/>
      <c r="Y295" s="609"/>
      <c r="Z295" s="609"/>
      <c r="AA295" s="609"/>
      <c r="AB295" s="609"/>
      <c r="AC295" s="609"/>
      <c r="AD295" s="609"/>
      <c r="AE295" s="609"/>
      <c r="AF295" s="609"/>
      <c r="AG295" s="609"/>
      <c r="AH295" s="609"/>
      <c r="AI295" s="609"/>
      <c r="AJ295" s="609"/>
      <c r="AK295" s="609"/>
      <c r="AL295" s="609"/>
      <c r="AM295" s="609"/>
      <c r="AN295" s="609"/>
      <c r="AO295" s="609"/>
    </row>
    <row r="296" spans="16:41" x14ac:dyDescent="0.2">
      <c r="P296" s="609"/>
      <c r="Q296" s="609"/>
      <c r="R296" s="609"/>
      <c r="S296" s="609"/>
      <c r="T296" s="609"/>
      <c r="U296" s="609"/>
      <c r="V296" s="609"/>
      <c r="W296" s="609"/>
      <c r="X296" s="609"/>
      <c r="Y296" s="609"/>
      <c r="Z296" s="609"/>
      <c r="AA296" s="609"/>
      <c r="AB296" s="609"/>
      <c r="AC296" s="609"/>
      <c r="AD296" s="609"/>
      <c r="AE296" s="609"/>
      <c r="AF296" s="609"/>
      <c r="AG296" s="609"/>
      <c r="AH296" s="609"/>
      <c r="AI296" s="609"/>
      <c r="AJ296" s="609"/>
      <c r="AK296" s="609"/>
      <c r="AL296" s="609"/>
      <c r="AM296" s="609"/>
      <c r="AN296" s="609"/>
      <c r="AO296" s="609"/>
    </row>
    <row r="297" spans="16:41" x14ac:dyDescent="0.2">
      <c r="P297" s="609"/>
      <c r="Q297" s="609"/>
      <c r="R297" s="609"/>
      <c r="S297" s="609"/>
      <c r="T297" s="609"/>
      <c r="U297" s="609"/>
      <c r="V297" s="609"/>
      <c r="W297" s="609"/>
      <c r="X297" s="609"/>
      <c r="Y297" s="609"/>
      <c r="Z297" s="609"/>
      <c r="AA297" s="609"/>
      <c r="AB297" s="609"/>
      <c r="AC297" s="609"/>
      <c r="AD297" s="609"/>
      <c r="AE297" s="609"/>
      <c r="AF297" s="609"/>
      <c r="AG297" s="609"/>
      <c r="AH297" s="609"/>
      <c r="AI297" s="609"/>
      <c r="AJ297" s="609"/>
      <c r="AK297" s="609"/>
      <c r="AL297" s="609"/>
      <c r="AM297" s="609"/>
      <c r="AN297" s="609"/>
      <c r="AO297" s="609"/>
    </row>
    <row r="298" spans="16:41" x14ac:dyDescent="0.2">
      <c r="P298" s="609"/>
      <c r="Q298" s="609"/>
      <c r="R298" s="609"/>
      <c r="S298" s="609"/>
      <c r="T298" s="609"/>
      <c r="U298" s="609"/>
      <c r="V298" s="609"/>
      <c r="W298" s="609"/>
      <c r="X298" s="609"/>
      <c r="Y298" s="609"/>
      <c r="Z298" s="609"/>
      <c r="AA298" s="609"/>
      <c r="AB298" s="609"/>
      <c r="AC298" s="609"/>
      <c r="AD298" s="609"/>
      <c r="AE298" s="609"/>
      <c r="AF298" s="609"/>
      <c r="AG298" s="609"/>
      <c r="AH298" s="609"/>
      <c r="AI298" s="609"/>
      <c r="AJ298" s="609"/>
      <c r="AK298" s="609"/>
      <c r="AL298" s="609"/>
      <c r="AM298" s="609"/>
      <c r="AN298" s="609"/>
      <c r="AO298" s="609"/>
    </row>
    <row r="299" spans="16:41" x14ac:dyDescent="0.2">
      <c r="P299" s="609"/>
      <c r="Q299" s="609"/>
    </row>
    <row r="300" spans="16:41" x14ac:dyDescent="0.2">
      <c r="P300" s="609"/>
      <c r="Q300" s="609"/>
      <c r="R300" s="274"/>
      <c r="S300" s="274"/>
      <c r="T300" s="274"/>
      <c r="U300" s="274"/>
    </row>
    <row r="301" spans="16:41" x14ac:dyDescent="0.2">
      <c r="P301" s="609"/>
      <c r="Q301" s="609"/>
      <c r="R301" s="274"/>
      <c r="S301" s="274"/>
      <c r="T301" s="274"/>
      <c r="U301" s="274"/>
    </row>
    <row r="302" spans="16:41" x14ac:dyDescent="0.2">
      <c r="P302" s="609"/>
      <c r="Q302" s="609"/>
      <c r="R302" s="274"/>
      <c r="S302" s="274"/>
      <c r="T302" s="274"/>
      <c r="U302" s="274"/>
    </row>
    <row r="303" spans="16:41" x14ac:dyDescent="0.2">
      <c r="P303" s="609"/>
      <c r="Q303" s="609"/>
    </row>
    <row r="304" spans="16:41" x14ac:dyDescent="0.2">
      <c r="P304" s="609"/>
      <c r="Q304" s="609"/>
    </row>
    <row r="305" spans="3:17" x14ac:dyDescent="0.2">
      <c r="P305" s="609"/>
      <c r="Q305" s="609"/>
    </row>
    <row r="306" spans="3:17" x14ac:dyDescent="0.2">
      <c r="P306" s="609"/>
      <c r="Q306" s="609"/>
    </row>
    <row r="307" spans="3:17" x14ac:dyDescent="0.2">
      <c r="P307" s="609"/>
      <c r="Q307" s="609"/>
    </row>
    <row r="308" spans="3:17" x14ac:dyDescent="0.2">
      <c r="P308" s="609"/>
      <c r="Q308" s="609"/>
    </row>
    <row r="309" spans="3:17" x14ac:dyDescent="0.2">
      <c r="P309" s="609"/>
      <c r="Q309" s="609"/>
    </row>
    <row r="310" spans="3:17" x14ac:dyDescent="0.2">
      <c r="P310" s="609"/>
      <c r="Q310" s="609"/>
    </row>
    <row r="311" spans="3:17" x14ac:dyDescent="0.2">
      <c r="P311" s="609"/>
      <c r="Q311" s="609"/>
    </row>
    <row r="312" spans="3:17" x14ac:dyDescent="0.2">
      <c r="C312" s="274"/>
      <c r="D312" s="274"/>
      <c r="E312" s="274"/>
      <c r="F312" s="274"/>
      <c r="G312" s="274"/>
      <c r="H312" s="274"/>
      <c r="I312" s="274"/>
      <c r="J312" s="274"/>
      <c r="K312" s="274"/>
      <c r="L312" s="274"/>
      <c r="M312" s="274"/>
      <c r="N312" s="274"/>
      <c r="P312" s="609"/>
    </row>
    <row r="313" spans="3:17" x14ac:dyDescent="0.2">
      <c r="C313" s="274"/>
      <c r="D313" s="274"/>
      <c r="E313" s="274"/>
      <c r="F313" s="274"/>
      <c r="G313" s="274"/>
      <c r="H313" s="274"/>
      <c r="I313" s="274"/>
      <c r="J313" s="274"/>
      <c r="K313" s="274"/>
      <c r="L313" s="274"/>
      <c r="M313" s="274"/>
      <c r="N313" s="274"/>
      <c r="P313" s="610"/>
      <c r="Q313" s="274"/>
    </row>
    <row r="314" spans="3:17" x14ac:dyDescent="0.2">
      <c r="C314" s="274"/>
      <c r="D314" s="274"/>
      <c r="E314" s="274"/>
      <c r="F314" s="274"/>
      <c r="G314" s="274"/>
      <c r="H314" s="274"/>
      <c r="I314" s="274"/>
      <c r="J314" s="274"/>
      <c r="K314" s="274"/>
      <c r="L314" s="274"/>
      <c r="M314" s="274"/>
      <c r="N314" s="274"/>
      <c r="P314" s="609"/>
      <c r="Q314" s="274"/>
    </row>
    <row r="315" spans="3:17" x14ac:dyDescent="0.2">
      <c r="P315" s="609"/>
      <c r="Q315" s="274"/>
    </row>
    <row r="316" spans="3:17" x14ac:dyDescent="0.2">
      <c r="P316" s="609"/>
    </row>
    <row r="317" spans="3:17" x14ac:dyDescent="0.2">
      <c r="O317" s="274"/>
      <c r="P317" s="609"/>
    </row>
    <row r="318" spans="3:17" x14ac:dyDescent="0.2">
      <c r="P318" s="609"/>
    </row>
    <row r="319" spans="3:17" x14ac:dyDescent="0.2">
      <c r="P319" s="609"/>
    </row>
    <row r="320" spans="3:17" x14ac:dyDescent="0.2">
      <c r="P320" s="609"/>
    </row>
    <row r="321" spans="16:16" x14ac:dyDescent="0.2">
      <c r="P321" s="609"/>
    </row>
    <row r="322" spans="16:16" x14ac:dyDescent="0.2">
      <c r="P322" s="609"/>
    </row>
    <row r="323" spans="16:16" x14ac:dyDescent="0.2">
      <c r="P323" s="609"/>
    </row>
    <row r="324" spans="16:16" x14ac:dyDescent="0.2">
      <c r="P324" s="609"/>
    </row>
    <row r="325" spans="16:16" x14ac:dyDescent="0.2">
      <c r="P325" s="609"/>
    </row>
    <row r="326" spans="16:16" x14ac:dyDescent="0.2">
      <c r="P326" s="609"/>
    </row>
    <row r="327" spans="16:16" x14ac:dyDescent="0.2">
      <c r="P327" s="609"/>
    </row>
    <row r="328" spans="16:16" x14ac:dyDescent="0.2">
      <c r="P328" s="609"/>
    </row>
    <row r="329" spans="16:16" x14ac:dyDescent="0.2">
      <c r="P329" s="609"/>
    </row>
    <row r="330" spans="16:16" x14ac:dyDescent="0.2">
      <c r="P330" s="609"/>
    </row>
    <row r="331" spans="16:16" x14ac:dyDescent="0.2">
      <c r="P331" s="609"/>
    </row>
    <row r="332" spans="16:16" x14ac:dyDescent="0.2">
      <c r="P332" s="609"/>
    </row>
    <row r="333" spans="16:16" x14ac:dyDescent="0.2">
      <c r="P333" s="609"/>
    </row>
    <row r="334" spans="16:16" x14ac:dyDescent="0.2">
      <c r="P334" s="609"/>
    </row>
    <row r="335" spans="16:16" x14ac:dyDescent="0.2">
      <c r="P335" s="609"/>
    </row>
    <row r="336" spans="16:16" x14ac:dyDescent="0.2">
      <c r="P336" s="609"/>
    </row>
    <row r="337" spans="15:16" x14ac:dyDescent="0.2">
      <c r="P337" s="609"/>
    </row>
    <row r="339" spans="15:16" x14ac:dyDescent="0.2">
      <c r="P339" s="274"/>
    </row>
    <row r="340" spans="15:16" x14ac:dyDescent="0.2">
      <c r="P340" s="274"/>
    </row>
    <row r="341" spans="15:16" x14ac:dyDescent="0.2">
      <c r="P341" s="274"/>
    </row>
    <row r="343" spans="15:16" x14ac:dyDescent="0.2">
      <c r="O343" s="274"/>
    </row>
    <row r="344" spans="15:16" x14ac:dyDescent="0.2">
      <c r="O344" s="274"/>
    </row>
    <row r="345" spans="15:16" x14ac:dyDescent="0.2">
      <c r="O345" s="274"/>
    </row>
  </sheetData>
  <sheetProtection algorithmName="SHA-512" hashValue="/6ZHKrlb7HNERDVUODBXEWrZ6i1AxulBeoZJVnW4kQD5nJ/Jbx0JnO/jY5oYF7f2xi82Ie0sbcPECN4CQzR5Hw==" saltValue="8Q1jg+i1blFjytHSbolM3A==" spinCount="100000" sheet="1" selectLockedCells="1"/>
  <sortState ref="A6:O39">
    <sortCondition ref="A6:A39"/>
  </sortState>
  <mergeCells count="6">
    <mergeCell ref="A1:C1"/>
    <mergeCell ref="G3:H3"/>
    <mergeCell ref="J3:K3"/>
    <mergeCell ref="L3:M3"/>
    <mergeCell ref="G2:H2"/>
    <mergeCell ref="A2:C2"/>
  </mergeCells>
  <phoneticPr fontId="0" type="noConversion"/>
  <hyperlinks>
    <hyperlink ref="A2:C2" r:id="rId1" display="http://www.topprodukte.at"/>
  </hyperlinks>
  <printOptions horizontalCentered="1"/>
  <pageMargins left="0.39370078740157483" right="0.39370078740157483" top="0.39370078740157483" bottom="0.39370078740157483" header="0.51181102362204722" footer="0.51181102362204722"/>
  <pageSetup paperSize="9" scale="50"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indexed="22"/>
  </sheetPr>
  <dimension ref="A1:BX670"/>
  <sheetViews>
    <sheetView showRowColHeaders="0" topLeftCell="A16" zoomScale="80" zoomScaleNormal="80" zoomScaleSheetLayoutView="90" workbookViewId="0">
      <selection activeCell="A6" sqref="A6"/>
    </sheetView>
  </sheetViews>
  <sheetFormatPr baseColWidth="10" defaultColWidth="11.375" defaultRowHeight="12.9" x14ac:dyDescent="0.2"/>
  <cols>
    <col min="1" max="1" width="10.75" style="122" bestFit="1" customWidth="1"/>
    <col min="2" max="2" width="17.125" style="122" bestFit="1" customWidth="1"/>
    <col min="3" max="3" width="26.75" style="122" bestFit="1" customWidth="1"/>
    <col min="4" max="5" width="8.375" style="122" bestFit="1" customWidth="1"/>
    <col min="6" max="6" width="11.375" style="122" bestFit="1" customWidth="1"/>
    <col min="7" max="7" width="7.625" style="122" bestFit="1" customWidth="1"/>
    <col min="8" max="8" width="13.625" style="122" bestFit="1" customWidth="1"/>
    <col min="9" max="9" width="10" style="122" bestFit="1" customWidth="1"/>
    <col min="10" max="10" width="12.75" style="122" customWidth="1"/>
    <col min="11" max="11" width="16.75" style="122" bestFit="1" customWidth="1"/>
    <col min="12" max="12" width="15.25" style="122" bestFit="1" customWidth="1"/>
    <col min="13" max="13" width="12.75" style="122" customWidth="1"/>
    <col min="14" max="14" width="14.75" style="122" customWidth="1"/>
    <col min="15" max="15" width="7.75" style="122" bestFit="1" customWidth="1"/>
    <col min="16" max="16" width="8.75" style="122" bestFit="1" customWidth="1"/>
    <col min="17" max="17" width="7.375" style="122" bestFit="1" customWidth="1"/>
    <col min="18" max="18" width="13.875" style="122" bestFit="1" customWidth="1"/>
    <col min="19" max="22" width="11.375" style="122"/>
    <col min="23" max="23" width="2.875" style="122" customWidth="1"/>
    <col min="24" max="24" width="19.75" style="122" bestFit="1" customWidth="1"/>
    <col min="25" max="25" width="14.25" style="122" bestFit="1" customWidth="1"/>
    <col min="26" max="16384" width="11.375" style="122"/>
  </cols>
  <sheetData>
    <row r="1" spans="1:39" s="211" customFormat="1" ht="12.75" customHeight="1" x14ac:dyDescent="0.25">
      <c r="A1" s="730" t="s">
        <v>2543</v>
      </c>
      <c r="B1" s="731"/>
      <c r="C1" s="731"/>
      <c r="D1" s="312"/>
      <c r="E1" s="312"/>
      <c r="F1" s="310"/>
      <c r="G1" s="310"/>
      <c r="H1" s="122"/>
      <c r="I1" s="122"/>
      <c r="J1" s="122"/>
      <c r="K1" s="122"/>
      <c r="L1" s="122"/>
      <c r="M1" s="172"/>
      <c r="N1" s="172"/>
      <c r="O1" s="172"/>
      <c r="P1" s="172"/>
      <c r="Q1" s="172"/>
      <c r="R1" s="172"/>
      <c r="S1" s="172"/>
      <c r="T1" s="172"/>
      <c r="U1" s="172"/>
      <c r="V1" s="172"/>
      <c r="W1" s="172"/>
      <c r="X1" s="172"/>
      <c r="Y1" s="172"/>
      <c r="Z1" s="122"/>
      <c r="AA1" s="122"/>
      <c r="AB1" s="122"/>
      <c r="AC1" s="122"/>
      <c r="AD1" s="122"/>
      <c r="AE1" s="122"/>
      <c r="AF1" s="122"/>
      <c r="AG1" s="122"/>
      <c r="AH1" s="122"/>
      <c r="AI1" s="122"/>
      <c r="AJ1" s="122"/>
      <c r="AK1" s="122"/>
      <c r="AL1" s="122"/>
      <c r="AM1" s="122"/>
    </row>
    <row r="2" spans="1:39" s="211" customFormat="1" ht="14.3" customHeight="1" x14ac:dyDescent="0.35">
      <c r="A2" s="732" t="s">
        <v>2797</v>
      </c>
      <c r="B2" s="732"/>
      <c r="C2" s="732"/>
      <c r="D2" s="313"/>
      <c r="E2" s="313"/>
      <c r="F2" s="729" t="s">
        <v>2544</v>
      </c>
      <c r="G2" s="725"/>
      <c r="H2" s="548" t="s">
        <v>2556</v>
      </c>
      <c r="I2" s="311"/>
      <c r="J2" s="172"/>
      <c r="K2" s="172"/>
      <c r="L2" s="172"/>
      <c r="M2" s="172"/>
      <c r="N2" s="172"/>
      <c r="O2" s="122"/>
      <c r="P2" s="122"/>
      <c r="Q2" s="122"/>
      <c r="R2" s="172"/>
      <c r="S2" s="172"/>
      <c r="T2" s="172"/>
      <c r="U2" s="114"/>
      <c r="V2" s="114"/>
      <c r="W2" s="114"/>
      <c r="X2" s="115"/>
      <c r="Y2" s="115"/>
      <c r="Z2" s="115"/>
      <c r="AA2" s="115"/>
      <c r="AB2" s="115"/>
      <c r="AC2" s="115"/>
      <c r="AD2" s="115"/>
      <c r="AE2" s="122"/>
      <c r="AF2" s="122"/>
      <c r="AG2" s="122"/>
      <c r="AH2" s="122"/>
      <c r="AI2" s="122"/>
      <c r="AJ2" s="122"/>
      <c r="AK2" s="122"/>
      <c r="AL2" s="122"/>
      <c r="AM2" s="122"/>
    </row>
    <row r="3" spans="1:39" s="211" customFormat="1" ht="17" x14ac:dyDescent="0.35">
      <c r="A3" s="548" t="s">
        <v>2499</v>
      </c>
      <c r="B3" s="548" t="s">
        <v>2495</v>
      </c>
      <c r="C3" s="548" t="s">
        <v>2796</v>
      </c>
      <c r="D3" s="548" t="s">
        <v>2496</v>
      </c>
      <c r="E3" s="548" t="s">
        <v>2497</v>
      </c>
      <c r="F3" s="723" t="s">
        <v>2498</v>
      </c>
      <c r="G3" s="723"/>
      <c r="H3" s="548" t="s">
        <v>2498</v>
      </c>
      <c r="I3" s="548" t="s">
        <v>2502</v>
      </c>
      <c r="J3" s="548" t="s">
        <v>2882</v>
      </c>
      <c r="K3" s="548" t="s">
        <v>2889</v>
      </c>
      <c r="L3" s="579" t="s">
        <v>3123</v>
      </c>
      <c r="M3" s="122"/>
      <c r="N3" s="733" t="s">
        <v>2810</v>
      </c>
      <c r="O3" s="499">
        <f>O8*0.72/3600</f>
        <v>8.5399999999999991</v>
      </c>
      <c r="P3" s="365" t="s">
        <v>2809</v>
      </c>
      <c r="Q3" s="366"/>
      <c r="R3" s="122"/>
      <c r="S3" s="727" t="s">
        <v>2879</v>
      </c>
      <c r="T3" s="728"/>
      <c r="U3" s="570">
        <v>2021</v>
      </c>
      <c r="V3" s="114"/>
      <c r="W3" s="114"/>
      <c r="X3" s="548" t="s">
        <v>2869</v>
      </c>
      <c r="Y3" s="548" t="s">
        <v>2880</v>
      </c>
      <c r="Z3" s="115"/>
      <c r="AA3" s="115"/>
      <c r="AB3" s="115"/>
      <c r="AC3" s="115"/>
      <c r="AD3" s="115"/>
      <c r="AE3" s="122"/>
      <c r="AF3" s="122"/>
      <c r="AG3" s="122"/>
      <c r="AH3" s="122"/>
      <c r="AI3" s="122"/>
      <c r="AJ3" s="122"/>
      <c r="AK3" s="122"/>
      <c r="AL3" s="122"/>
      <c r="AM3" s="122"/>
    </row>
    <row r="4" spans="1:39" s="211" customFormat="1" ht="17" x14ac:dyDescent="0.35">
      <c r="A4" s="548"/>
      <c r="B4" s="548"/>
      <c r="C4" s="548"/>
      <c r="D4" s="548" t="s">
        <v>2501</v>
      </c>
      <c r="E4" s="548"/>
      <c r="F4" s="229" t="s">
        <v>2808</v>
      </c>
      <c r="G4" s="548" t="s">
        <v>2504</v>
      </c>
      <c r="H4" s="548" t="s">
        <v>2505</v>
      </c>
      <c r="I4" s="548" t="s">
        <v>1573</v>
      </c>
      <c r="J4" s="548" t="s">
        <v>2886</v>
      </c>
      <c r="K4" s="548" t="s">
        <v>2886</v>
      </c>
      <c r="L4" s="579"/>
      <c r="M4" s="172"/>
      <c r="N4" s="734"/>
      <c r="O4" s="499">
        <f>O9*0.87/3600</f>
        <v>10.1065</v>
      </c>
      <c r="P4" s="365" t="s">
        <v>2824</v>
      </c>
      <c r="Q4" s="366"/>
      <c r="R4" s="122"/>
      <c r="S4" s="727" t="s">
        <v>2881</v>
      </c>
      <c r="T4" s="728"/>
      <c r="U4" s="499">
        <f>VLOOKUP(U3,X5:Y15,2,TRUE)</f>
        <v>138</v>
      </c>
      <c r="V4" s="498" t="s">
        <v>2505</v>
      </c>
      <c r="W4" s="114"/>
      <c r="X4" s="548" t="s">
        <v>2834</v>
      </c>
      <c r="Y4" s="548" t="s">
        <v>2505</v>
      </c>
      <c r="Z4" s="115"/>
      <c r="AA4" s="115"/>
      <c r="AB4" s="115"/>
      <c r="AC4" s="115"/>
      <c r="AD4" s="115"/>
      <c r="AE4" s="122"/>
      <c r="AF4" s="122"/>
      <c r="AG4" s="122"/>
      <c r="AH4" s="122"/>
      <c r="AI4" s="122"/>
      <c r="AJ4" s="122"/>
      <c r="AK4" s="122"/>
      <c r="AL4" s="122"/>
      <c r="AM4" s="122"/>
    </row>
    <row r="5" spans="1:39" s="211" customFormat="1" ht="13.6" x14ac:dyDescent="0.25">
      <c r="A5" s="406"/>
      <c r="B5" s="406"/>
      <c r="C5" s="406">
        <v>1</v>
      </c>
      <c r="D5" s="406">
        <v>2</v>
      </c>
      <c r="E5" s="406">
        <v>3</v>
      </c>
      <c r="F5" s="406">
        <v>4</v>
      </c>
      <c r="G5" s="406">
        <v>5</v>
      </c>
      <c r="H5" s="406">
        <v>6</v>
      </c>
      <c r="I5" s="406">
        <v>7</v>
      </c>
      <c r="J5" s="406">
        <v>8</v>
      </c>
      <c r="K5" s="406">
        <v>9</v>
      </c>
      <c r="L5" s="406"/>
      <c r="M5" s="172"/>
      <c r="N5" s="172"/>
      <c r="O5" s="172"/>
      <c r="P5" s="172"/>
      <c r="Q5" s="172"/>
      <c r="R5" s="172"/>
      <c r="S5" s="172"/>
      <c r="T5" s="172"/>
      <c r="U5" s="114"/>
      <c r="V5" s="114"/>
      <c r="W5" s="114"/>
      <c r="X5" s="497">
        <v>2016</v>
      </c>
      <c r="Y5" s="497">
        <v>130</v>
      </c>
      <c r="Z5" s="455" t="s">
        <v>3368</v>
      </c>
      <c r="AA5" s="115"/>
      <c r="AB5" s="115"/>
      <c r="AC5" s="115"/>
      <c r="AD5" s="115"/>
      <c r="AE5" s="122"/>
      <c r="AF5" s="122"/>
      <c r="AG5" s="122"/>
      <c r="AH5" s="122"/>
      <c r="AI5" s="122"/>
      <c r="AJ5" s="122"/>
      <c r="AK5" s="122"/>
      <c r="AL5" s="122"/>
      <c r="AM5" s="122"/>
    </row>
    <row r="6" spans="1:39" s="211" customFormat="1" ht="13.6" x14ac:dyDescent="0.25">
      <c r="A6" s="527" t="s">
        <v>2954</v>
      </c>
      <c r="B6" s="528" t="s">
        <v>2955</v>
      </c>
      <c r="C6" s="407" t="str">
        <f t="shared" ref="C6:C69" si="0">CONCATENATE(A6," ",B6," - ",E6)</f>
        <v xml:space="preserve">Eingabe eigenes Fahrzeug - </v>
      </c>
      <c r="D6" s="512"/>
      <c r="E6" s="513"/>
      <c r="F6" s="409">
        <f t="shared" ref="F6:F7" si="1">IF(E6="Benzin",$O$3*G6,$O$4*G6)</f>
        <v>0</v>
      </c>
      <c r="G6" s="518"/>
      <c r="H6" s="519"/>
      <c r="I6" s="520"/>
      <c r="J6" s="408">
        <f>IF(H6&gt;$U$4,IF(I6*0.02&gt;960,960,I6*0.02),IF(H6&gt;0,IF(I6*0.015&gt;720,720,I6*0.015),0))</f>
        <v>0</v>
      </c>
      <c r="K6" s="408">
        <f>J6*Eingabe!$C$48</f>
        <v>0</v>
      </c>
      <c r="L6" s="582"/>
      <c r="M6" s="172"/>
      <c r="N6" s="122"/>
      <c r="O6" s="172"/>
      <c r="P6" s="172"/>
      <c r="Q6" s="172"/>
      <c r="R6" s="172"/>
      <c r="S6" s="172"/>
      <c r="T6" s="172"/>
      <c r="U6" s="172"/>
      <c r="V6" s="114"/>
      <c r="W6" s="114"/>
      <c r="X6" s="230">
        <v>2017</v>
      </c>
      <c r="Y6" s="230">
        <v>127</v>
      </c>
      <c r="Z6" s="455" t="s">
        <v>3368</v>
      </c>
      <c r="AA6" s="115"/>
      <c r="AB6" s="115"/>
      <c r="AC6" s="115"/>
      <c r="AD6" s="115"/>
      <c r="AE6" s="122"/>
      <c r="AF6" s="122"/>
      <c r="AG6" s="122"/>
      <c r="AH6" s="122"/>
      <c r="AI6" s="122"/>
      <c r="AJ6" s="122"/>
      <c r="AK6" s="122"/>
      <c r="AL6" s="122"/>
      <c r="AM6" s="122"/>
    </row>
    <row r="7" spans="1:39" s="211" customFormat="1" ht="13.6" x14ac:dyDescent="0.25">
      <c r="A7" s="527" t="s">
        <v>2954</v>
      </c>
      <c r="B7" s="528" t="s">
        <v>2955</v>
      </c>
      <c r="C7" s="407" t="str">
        <f t="shared" si="0"/>
        <v xml:space="preserve">Eingabe eigenes Fahrzeug - </v>
      </c>
      <c r="D7" s="514"/>
      <c r="E7" s="515"/>
      <c r="F7" s="409">
        <f t="shared" si="1"/>
        <v>0</v>
      </c>
      <c r="G7" s="521"/>
      <c r="H7" s="522"/>
      <c r="I7" s="523"/>
      <c r="J7" s="408">
        <f t="shared" ref="J7" si="2">IF(H7&gt;$U$4,IF(I7*0.02&gt;960,960,I7*0.02),IF(H7&gt;0,IF(I7*0.015&gt;720,720,I7*0.015),0))</f>
        <v>0</v>
      </c>
      <c r="K7" s="408">
        <f>J7*Eingabe!$C$48</f>
        <v>0</v>
      </c>
      <c r="L7" s="583"/>
      <c r="M7" s="472"/>
      <c r="N7" s="472"/>
      <c r="O7" s="122"/>
      <c r="P7" s="472"/>
      <c r="Q7" s="122"/>
      <c r="R7" s="472"/>
      <c r="S7" s="172"/>
      <c r="T7" s="172"/>
      <c r="U7" s="172"/>
      <c r="V7" s="172"/>
      <c r="W7" s="114"/>
      <c r="X7" s="230">
        <v>2018</v>
      </c>
      <c r="Y7" s="230">
        <v>124</v>
      </c>
      <c r="Z7" s="455" t="s">
        <v>3368</v>
      </c>
      <c r="AA7" s="115"/>
      <c r="AB7" s="115"/>
      <c r="AC7" s="115"/>
      <c r="AD7" s="115"/>
      <c r="AE7" s="115"/>
      <c r="AF7" s="115"/>
      <c r="AG7" s="122"/>
      <c r="AH7" s="122"/>
      <c r="AI7" s="122"/>
      <c r="AJ7" s="122"/>
      <c r="AK7" s="122"/>
      <c r="AL7" s="122"/>
      <c r="AM7" s="122"/>
    </row>
    <row r="8" spans="1:39" s="211" customFormat="1" ht="16.3" x14ac:dyDescent="0.35">
      <c r="A8" s="527" t="s">
        <v>2954</v>
      </c>
      <c r="B8" s="528" t="s">
        <v>2955</v>
      </c>
      <c r="C8" s="407" t="str">
        <f t="shared" si="0"/>
        <v xml:space="preserve">Eingabe eigenes Fahrzeug - </v>
      </c>
      <c r="D8" s="516"/>
      <c r="E8" s="517"/>
      <c r="F8" s="409">
        <f>IF(E8="Benzin",$O$3*G8,$O$4*G8)</f>
        <v>0</v>
      </c>
      <c r="G8" s="524"/>
      <c r="H8" s="525"/>
      <c r="I8" s="526"/>
      <c r="J8" s="408">
        <f>IF(H8&gt;$U$4,IF(I8*0.02&gt;960,960,I8*0.02),IF(H8&gt;0,IF(I8*0.015&gt;720,720,I8*0.015),0))</f>
        <v>0</v>
      </c>
      <c r="K8" s="408">
        <f>J8*Eingabe!$C$48</f>
        <v>0</v>
      </c>
      <c r="L8" s="584"/>
      <c r="M8" s="474"/>
      <c r="N8" s="236" t="s">
        <v>2827</v>
      </c>
      <c r="O8" s="485">
        <v>42700</v>
      </c>
      <c r="P8" s="363" t="s">
        <v>2826</v>
      </c>
      <c r="Q8" s="172"/>
      <c r="R8" s="114" t="s">
        <v>2500</v>
      </c>
      <c r="S8" s="122"/>
      <c r="T8" s="122"/>
      <c r="U8" s="122"/>
      <c r="V8" s="172"/>
      <c r="W8" s="172"/>
      <c r="X8" s="230">
        <v>2019</v>
      </c>
      <c r="Y8" s="230">
        <v>121</v>
      </c>
      <c r="Z8" s="455" t="s">
        <v>3368</v>
      </c>
      <c r="AA8" s="122"/>
      <c r="AB8" s="122"/>
      <c r="AC8" s="122"/>
      <c r="AD8" s="122"/>
      <c r="AE8" s="122"/>
      <c r="AF8" s="122"/>
      <c r="AG8" s="122"/>
      <c r="AH8" s="122"/>
      <c r="AI8" s="122"/>
      <c r="AJ8" s="122"/>
      <c r="AK8" s="122"/>
      <c r="AL8" s="122"/>
      <c r="AM8" s="122"/>
    </row>
    <row r="9" spans="1:39" s="211" customFormat="1" ht="16.3" x14ac:dyDescent="0.35">
      <c r="A9" s="407" t="str">
        <f>'topprodukte-benzin-diesel'!A2</f>
        <v>Audi</v>
      </c>
      <c r="B9" s="407" t="str">
        <f>'topprodukte-benzin-diesel'!B2</f>
        <v>A1 SB</v>
      </c>
      <c r="C9" s="407" t="str">
        <f t="shared" si="0"/>
        <v>Audi A1 SB - Benzin</v>
      </c>
      <c r="D9" s="407">
        <f>'topprodukte-benzin-diesel'!O2</f>
        <v>70</v>
      </c>
      <c r="E9" s="407" t="str">
        <f>'topprodukte-benzin-diesel'!J2</f>
        <v>Benzin</v>
      </c>
      <c r="F9" s="409">
        <f t="shared" ref="F9:F13" si="3">IF(E9="Benzin",$O$3*G9,$O$4*G9)</f>
        <v>47.823999999999991</v>
      </c>
      <c r="G9" s="407">
        <f>'topprodukte-benzin-diesel'!I2</f>
        <v>5.6</v>
      </c>
      <c r="H9" s="407">
        <f>'topprodukte-benzin-diesel'!K2</f>
        <v>126</v>
      </c>
      <c r="I9" s="231">
        <f>'topprodukte-benzin-diesel'!F2</f>
        <v>21780</v>
      </c>
      <c r="J9" s="408">
        <f>IF(H9&gt;$U$4,IF(I9*0.02&gt;960,960,I9*0.02),IF(H9&gt;0,IF(I9*0.015&gt;720,720,I9*0.015),0))</f>
        <v>326.7</v>
      </c>
      <c r="K9" s="408">
        <f>J9*Eingabe!$C$48</f>
        <v>98.009999999999991</v>
      </c>
      <c r="L9" s="408" t="s">
        <v>3124</v>
      </c>
      <c r="M9" s="122"/>
      <c r="N9" s="236" t="s">
        <v>2828</v>
      </c>
      <c r="O9" s="486">
        <v>41820</v>
      </c>
      <c r="P9" s="413" t="s">
        <v>2826</v>
      </c>
      <c r="Q9" s="122"/>
      <c r="R9" s="115" t="s">
        <v>2823</v>
      </c>
      <c r="S9" s="122"/>
      <c r="T9" s="122"/>
      <c r="U9" s="122"/>
      <c r="V9" s="122"/>
      <c r="W9" s="122"/>
      <c r="X9" s="230" t="s">
        <v>3369</v>
      </c>
      <c r="Y9" s="230">
        <v>118</v>
      </c>
      <c r="Z9" s="455" t="s">
        <v>3368</v>
      </c>
      <c r="AA9" s="122"/>
      <c r="AB9" s="122"/>
      <c r="AC9" s="122"/>
      <c r="AD9" s="122"/>
      <c r="AE9" s="122"/>
      <c r="AF9" s="122"/>
      <c r="AG9" s="122"/>
      <c r="AH9" s="122"/>
      <c r="AI9" s="122"/>
      <c r="AJ9" s="122"/>
      <c r="AK9" s="122"/>
      <c r="AL9" s="122"/>
      <c r="AM9" s="122"/>
    </row>
    <row r="10" spans="1:39" s="211" customFormat="1" ht="13.6" x14ac:dyDescent="0.25">
      <c r="A10" s="407" t="str">
        <f>'topprodukte-benzin-diesel'!A3</f>
        <v>Audi</v>
      </c>
      <c r="B10" s="407" t="str">
        <f>'topprodukte-benzin-diesel'!B3</f>
        <v>A3 SB</v>
      </c>
      <c r="C10" s="407" t="str">
        <f t="shared" si="0"/>
        <v>Audi A3 SB - Benzin</v>
      </c>
      <c r="D10" s="407">
        <f>'topprodukte-benzin-diesel'!O3</f>
        <v>85</v>
      </c>
      <c r="E10" s="407" t="str">
        <f>'topprodukte-benzin-diesel'!J3</f>
        <v>Benzin</v>
      </c>
      <c r="F10" s="409">
        <f t="shared" si="3"/>
        <v>37.576000000000001</v>
      </c>
      <c r="G10" s="407">
        <f>'topprodukte-benzin-diesel'!I3</f>
        <v>4.4000000000000004</v>
      </c>
      <c r="H10" s="407">
        <f>'topprodukte-benzin-diesel'!K3</f>
        <v>114</v>
      </c>
      <c r="I10" s="231">
        <f>'topprodukte-benzin-diesel'!F3</f>
        <v>29600</v>
      </c>
      <c r="J10" s="408">
        <f t="shared" ref="J10:J13" si="4">IF(H10&gt;$U$4,IF(I10*0.02&gt;960,960,I10*0.02),IF(H10&gt;0,IF(I10*0.015&gt;720,720,I10*0.015),0))</f>
        <v>444</v>
      </c>
      <c r="K10" s="408">
        <f>J10*Eingabe!$C$48</f>
        <v>133.19999999999999</v>
      </c>
      <c r="L10" s="408" t="s">
        <v>3124</v>
      </c>
      <c r="M10" s="122"/>
      <c r="N10" s="122"/>
      <c r="O10" s="122"/>
      <c r="P10" s="122"/>
      <c r="Q10" s="122"/>
      <c r="R10" s="122"/>
      <c r="S10" s="172"/>
      <c r="T10" s="172"/>
      <c r="U10" s="172"/>
      <c r="V10" s="122"/>
      <c r="W10" s="122"/>
      <c r="X10" s="230" t="s">
        <v>3366</v>
      </c>
      <c r="Y10" s="230">
        <v>141</v>
      </c>
      <c r="Z10" s="455" t="s">
        <v>3367</v>
      </c>
      <c r="AA10" s="122"/>
      <c r="AB10" s="122"/>
      <c r="AC10" s="122"/>
      <c r="AD10" s="122"/>
      <c r="AE10" s="122"/>
      <c r="AF10" s="122"/>
      <c r="AG10" s="122"/>
      <c r="AH10" s="122"/>
      <c r="AI10" s="122"/>
      <c r="AJ10" s="122"/>
      <c r="AK10" s="122"/>
      <c r="AL10" s="122"/>
      <c r="AM10" s="122"/>
    </row>
    <row r="11" spans="1:39" s="211" customFormat="1" ht="13.6" x14ac:dyDescent="0.25">
      <c r="A11" s="407" t="str">
        <f>'topprodukte-benzin-diesel'!A4</f>
        <v>Audi</v>
      </c>
      <c r="B11" s="407" t="str">
        <f>'topprodukte-benzin-diesel'!B4</f>
        <v>A4 Limousine</v>
      </c>
      <c r="C11" s="407" t="str">
        <f t="shared" si="0"/>
        <v>Audi A4 Limousine - Benzin</v>
      </c>
      <c r="D11" s="407">
        <f>'topprodukte-benzin-diesel'!O4</f>
        <v>90</v>
      </c>
      <c r="E11" s="407" t="str">
        <f>'topprodukte-benzin-diesel'!J4</f>
        <v>Benzin</v>
      </c>
      <c r="F11" s="409">
        <f t="shared" si="3"/>
        <v>41.845999999999997</v>
      </c>
      <c r="G11" s="407">
        <f>'topprodukte-benzin-diesel'!I4</f>
        <v>4.9000000000000004</v>
      </c>
      <c r="H11" s="407">
        <f>'topprodukte-benzin-diesel'!K4</f>
        <v>128</v>
      </c>
      <c r="I11" s="231">
        <f>'topprodukte-benzin-diesel'!F4</f>
        <v>36970</v>
      </c>
      <c r="J11" s="408">
        <f t="shared" si="4"/>
        <v>554.54999999999995</v>
      </c>
      <c r="K11" s="408">
        <f>J11*Eingabe!$C$48</f>
        <v>166.36499999999998</v>
      </c>
      <c r="L11" s="408" t="s">
        <v>3124</v>
      </c>
      <c r="M11" s="475"/>
      <c r="N11" s="234" t="s">
        <v>2825</v>
      </c>
      <c r="O11" s="172"/>
      <c r="P11" s="172"/>
      <c r="Q11" s="473"/>
      <c r="R11" s="172"/>
      <c r="S11" s="172"/>
      <c r="T11" s="172"/>
      <c r="U11" s="172"/>
      <c r="V11" s="172"/>
      <c r="W11" s="114"/>
      <c r="X11" s="230">
        <v>2021</v>
      </c>
      <c r="Y11" s="230">
        <v>138</v>
      </c>
      <c r="Z11" s="455" t="s">
        <v>3367</v>
      </c>
      <c r="AA11" s="115"/>
      <c r="AB11" s="115"/>
      <c r="AC11" s="115"/>
      <c r="AD11" s="115"/>
      <c r="AE11" s="115"/>
      <c r="AF11" s="115"/>
      <c r="AG11" s="122"/>
      <c r="AH11" s="122"/>
      <c r="AI11" s="122"/>
      <c r="AJ11" s="122"/>
      <c r="AK11" s="122"/>
      <c r="AL11" s="122"/>
      <c r="AM11" s="122"/>
    </row>
    <row r="12" spans="1:39" s="211" customFormat="1" ht="13.6" x14ac:dyDescent="0.25">
      <c r="A12" s="407" t="str">
        <f>'topprodukte-benzin-diesel'!A5</f>
        <v>Audi</v>
      </c>
      <c r="B12" s="407" t="str">
        <f>'topprodukte-benzin-diesel'!B5</f>
        <v>A3 SB</v>
      </c>
      <c r="C12" s="407" t="str">
        <f t="shared" si="0"/>
        <v>Audi A3 SB - Diesel</v>
      </c>
      <c r="D12" s="407">
        <f>'topprodukte-benzin-diesel'!O5</f>
        <v>85</v>
      </c>
      <c r="E12" s="407" t="str">
        <f>'topprodukte-benzin-diesel'!J5</f>
        <v>Diesel</v>
      </c>
      <c r="F12" s="409">
        <f t="shared" si="3"/>
        <v>44.468600000000009</v>
      </c>
      <c r="G12" s="407">
        <f>'topprodukte-benzin-diesel'!I5</f>
        <v>4.4000000000000004</v>
      </c>
      <c r="H12" s="407">
        <f>'topprodukte-benzin-diesel'!K5</f>
        <v>114</v>
      </c>
      <c r="I12" s="231">
        <f>'topprodukte-benzin-diesel'!F5</f>
        <v>29600</v>
      </c>
      <c r="J12" s="408">
        <f t="shared" si="4"/>
        <v>444</v>
      </c>
      <c r="K12" s="408">
        <f>J12*Eingabe!$C$48</f>
        <v>133.19999999999999</v>
      </c>
      <c r="L12" s="408" t="s">
        <v>3124</v>
      </c>
      <c r="M12" s="234"/>
      <c r="N12" s="234"/>
      <c r="O12" s="172"/>
      <c r="P12" s="172"/>
      <c r="Q12" s="480"/>
      <c r="R12" s="172"/>
      <c r="S12" s="172"/>
      <c r="T12" s="172"/>
      <c r="U12" s="114"/>
      <c r="V12" s="172"/>
      <c r="W12" s="114"/>
      <c r="X12" s="230">
        <v>2022</v>
      </c>
      <c r="Y12" s="230">
        <v>135</v>
      </c>
      <c r="Z12" s="455" t="s">
        <v>3367</v>
      </c>
      <c r="AA12" s="115"/>
      <c r="AB12" s="115"/>
      <c r="AC12" s="115"/>
      <c r="AD12" s="115"/>
      <c r="AE12" s="115"/>
      <c r="AF12" s="115"/>
      <c r="AG12" s="122"/>
      <c r="AH12" s="122"/>
      <c r="AI12" s="122"/>
      <c r="AJ12" s="122"/>
      <c r="AK12" s="122"/>
      <c r="AL12" s="122"/>
      <c r="AM12" s="122"/>
    </row>
    <row r="13" spans="1:39" s="211" customFormat="1" ht="13.6" x14ac:dyDescent="0.25">
      <c r="A13" s="407" t="str">
        <f>'topprodukte-benzin-diesel'!A6</f>
        <v>Audi</v>
      </c>
      <c r="B13" s="407" t="str">
        <f>'topprodukte-benzin-diesel'!B6</f>
        <v>A4 Limousine</v>
      </c>
      <c r="C13" s="407" t="str">
        <f t="shared" si="0"/>
        <v>Audi A4 Limousine - Diesel</v>
      </c>
      <c r="D13" s="407">
        <f>'topprodukte-benzin-diesel'!O6</f>
        <v>90</v>
      </c>
      <c r="E13" s="407" t="str">
        <f>'topprodukte-benzin-diesel'!J6</f>
        <v>Diesel</v>
      </c>
      <c r="F13" s="409">
        <f t="shared" si="3"/>
        <v>49.521850000000008</v>
      </c>
      <c r="G13" s="407">
        <f>'topprodukte-benzin-diesel'!I6</f>
        <v>4.9000000000000004</v>
      </c>
      <c r="H13" s="407">
        <f>'topprodukte-benzin-diesel'!K6</f>
        <v>128</v>
      </c>
      <c r="I13" s="231">
        <f>'topprodukte-benzin-diesel'!F6</f>
        <v>36970</v>
      </c>
      <c r="J13" s="408">
        <f t="shared" si="4"/>
        <v>554.54999999999995</v>
      </c>
      <c r="K13" s="408">
        <f>J13*Eingabe!$C$48</f>
        <v>166.36499999999998</v>
      </c>
      <c r="L13" s="408" t="s">
        <v>3124</v>
      </c>
      <c r="M13" s="172"/>
      <c r="N13" s="172"/>
      <c r="O13" s="473"/>
      <c r="P13" s="172"/>
      <c r="Q13" s="172"/>
      <c r="R13" s="172"/>
      <c r="S13" s="172"/>
      <c r="T13" s="172"/>
      <c r="U13" s="172"/>
      <c r="V13" s="114"/>
      <c r="W13" s="114"/>
      <c r="X13" s="230">
        <v>2023</v>
      </c>
      <c r="Y13" s="230">
        <v>132</v>
      </c>
      <c r="Z13" s="455" t="s">
        <v>3367</v>
      </c>
      <c r="AA13" s="115"/>
      <c r="AB13" s="115"/>
      <c r="AC13" s="115"/>
      <c r="AD13" s="115"/>
      <c r="AE13" s="122"/>
      <c r="AF13" s="122"/>
      <c r="AG13" s="122"/>
      <c r="AH13" s="122"/>
      <c r="AI13" s="122"/>
      <c r="AJ13" s="122"/>
      <c r="AK13" s="122"/>
      <c r="AL13" s="122"/>
      <c r="AM13" s="122"/>
    </row>
    <row r="14" spans="1:39" s="211" customFormat="1" ht="13.6" x14ac:dyDescent="0.25">
      <c r="A14" s="407" t="str">
        <f>'topprodukte-benzin-diesel'!A7</f>
        <v>BMW</v>
      </c>
      <c r="B14" s="407" t="str">
        <f>'topprodukte-benzin-diesel'!B7</f>
        <v>2er Gran Tourer</v>
      </c>
      <c r="C14" s="407" t="str">
        <f t="shared" si="0"/>
        <v>BMW 2er Gran Tourer - Benzin</v>
      </c>
      <c r="D14" s="407">
        <f>'topprodukte-benzin-diesel'!O7</f>
        <v>80</v>
      </c>
      <c r="E14" s="407" t="str">
        <f>'topprodukte-benzin-diesel'!J7</f>
        <v>Benzin</v>
      </c>
      <c r="F14" s="409">
        <f t="shared" ref="F14:F35" si="5">IF(E14="Benzin",$O$3*G14,$O$4*G14)</f>
        <v>54.655999999999999</v>
      </c>
      <c r="G14" s="407">
        <f>'topprodukte-benzin-diesel'!I7</f>
        <v>6.4</v>
      </c>
      <c r="H14" s="407">
        <f>'topprodukte-benzin-diesel'!K7</f>
        <v>146</v>
      </c>
      <c r="I14" s="231">
        <f>'topprodukte-benzin-diesel'!F7</f>
        <v>31350</v>
      </c>
      <c r="J14" s="408">
        <f t="shared" ref="J14:J36" si="6">IF(H14&gt;$U$4,IF(I14*0.02&gt;960,960,I14*0.02),IF(H14&gt;0,IF(I14*0.015&gt;720,720,I14*0.015),0))</f>
        <v>627</v>
      </c>
      <c r="K14" s="408">
        <f>J14*Eingabe!$C$48</f>
        <v>188.1</v>
      </c>
      <c r="L14" s="408" t="s">
        <v>3124</v>
      </c>
      <c r="M14" s="475"/>
      <c r="N14" s="475"/>
      <c r="O14" s="172"/>
      <c r="P14" s="172"/>
      <c r="Q14" s="473"/>
      <c r="R14" s="172"/>
      <c r="S14" s="172"/>
      <c r="T14" s="172"/>
      <c r="U14" s="172"/>
      <c r="V14" s="172"/>
      <c r="W14" s="114"/>
      <c r="X14" s="230">
        <v>2024</v>
      </c>
      <c r="Y14" s="230">
        <v>129</v>
      </c>
      <c r="Z14" s="455" t="s">
        <v>3367</v>
      </c>
      <c r="AA14" s="115"/>
      <c r="AB14" s="115"/>
      <c r="AC14" s="115"/>
      <c r="AD14" s="115"/>
      <c r="AE14" s="115"/>
      <c r="AF14" s="115"/>
      <c r="AG14" s="122"/>
      <c r="AH14" s="122"/>
      <c r="AI14" s="122"/>
      <c r="AJ14" s="122"/>
      <c r="AK14" s="122"/>
      <c r="AL14" s="122"/>
      <c r="AM14" s="122"/>
    </row>
    <row r="15" spans="1:39" s="211" customFormat="1" ht="13.6" x14ac:dyDescent="0.25">
      <c r="A15" s="407" t="str">
        <f>'topprodukte-benzin-diesel'!A8</f>
        <v>BMW</v>
      </c>
      <c r="B15" s="407" t="str">
        <f>'topprodukte-benzin-diesel'!B8</f>
        <v>1er Limousine</v>
      </c>
      <c r="C15" s="407" t="str">
        <f t="shared" si="0"/>
        <v>BMW 1er Limousine - Benzin</v>
      </c>
      <c r="D15" s="407">
        <f>'topprodukte-benzin-diesel'!O8</f>
        <v>85</v>
      </c>
      <c r="E15" s="407" t="str">
        <f>'topprodukte-benzin-diesel'!J8</f>
        <v>Benzin</v>
      </c>
      <c r="F15" s="409">
        <f t="shared" si="5"/>
        <v>38.429999999999993</v>
      </c>
      <c r="G15" s="407">
        <f>'topprodukte-benzin-diesel'!I8</f>
        <v>4.5</v>
      </c>
      <c r="H15" s="407">
        <f>'topprodukte-benzin-diesel'!K8</f>
        <v>118</v>
      </c>
      <c r="I15" s="231">
        <f>'topprodukte-benzin-diesel'!F8</f>
        <v>31160</v>
      </c>
      <c r="J15" s="408">
        <f t="shared" si="6"/>
        <v>467.4</v>
      </c>
      <c r="K15" s="408">
        <f>J15*Eingabe!$C$48</f>
        <v>140.22</v>
      </c>
      <c r="L15" s="408" t="s">
        <v>3124</v>
      </c>
      <c r="M15" s="472"/>
      <c r="N15" s="472"/>
      <c r="O15" s="172"/>
      <c r="P15" s="172"/>
      <c r="Q15" s="172"/>
      <c r="R15" s="172"/>
      <c r="S15" s="172"/>
      <c r="T15" s="172"/>
      <c r="U15" s="172"/>
      <c r="V15" s="172"/>
      <c r="W15" s="114"/>
      <c r="X15" s="230">
        <v>2025</v>
      </c>
      <c r="Y15" s="230">
        <v>126</v>
      </c>
      <c r="Z15" s="455" t="s">
        <v>3367</v>
      </c>
      <c r="AA15" s="115"/>
      <c r="AB15" s="115"/>
      <c r="AC15" s="115"/>
      <c r="AD15" s="115"/>
      <c r="AE15" s="115"/>
      <c r="AF15" s="115"/>
      <c r="AG15" s="122"/>
      <c r="AH15" s="122"/>
      <c r="AI15" s="122"/>
      <c r="AJ15" s="122"/>
      <c r="AK15" s="122"/>
      <c r="AL15" s="122"/>
      <c r="AM15" s="122"/>
    </row>
    <row r="16" spans="1:39" s="211" customFormat="1" ht="13.6" x14ac:dyDescent="0.25">
      <c r="A16" s="407" t="str">
        <f>'topprodukte-benzin-diesel'!A9</f>
        <v>BMW</v>
      </c>
      <c r="B16" s="407" t="str">
        <f>'topprodukte-benzin-diesel'!B9</f>
        <v>3er Limousine</v>
      </c>
      <c r="C16" s="407" t="str">
        <f t="shared" si="0"/>
        <v>BMW 3er Limousine - Benzin</v>
      </c>
      <c r="D16" s="407">
        <f>'topprodukte-benzin-diesel'!O9</f>
        <v>110</v>
      </c>
      <c r="E16" s="407" t="str">
        <f>'topprodukte-benzin-diesel'!J9</f>
        <v>Benzin</v>
      </c>
      <c r="F16" s="409">
        <f t="shared" si="5"/>
        <v>40.991999999999997</v>
      </c>
      <c r="G16" s="407">
        <f>'topprodukte-benzin-diesel'!I9</f>
        <v>4.8</v>
      </c>
      <c r="H16" s="407">
        <f>'topprodukte-benzin-diesel'!K9</f>
        <v>125</v>
      </c>
      <c r="I16" s="231">
        <f>'topprodukte-benzin-diesel'!F9</f>
        <v>38950</v>
      </c>
      <c r="J16" s="408">
        <f t="shared" si="6"/>
        <v>584.25</v>
      </c>
      <c r="K16" s="408">
        <f>J16*Eingabe!$C$48</f>
        <v>175.27500000000001</v>
      </c>
      <c r="L16" s="408" t="s">
        <v>3124</v>
      </c>
      <c r="M16" s="172"/>
      <c r="N16" s="172"/>
      <c r="O16" s="172"/>
      <c r="P16" s="172"/>
      <c r="Q16" s="172"/>
      <c r="R16" s="172"/>
      <c r="S16" s="172"/>
      <c r="T16" s="172"/>
      <c r="U16" s="172"/>
      <c r="V16" s="172"/>
      <c r="W16" s="114"/>
      <c r="X16" s="114"/>
      <c r="Y16" s="114"/>
      <c r="Z16" s="115"/>
      <c r="AA16" s="115"/>
      <c r="AB16" s="115"/>
      <c r="AC16" s="115"/>
      <c r="AD16" s="115"/>
      <c r="AE16" s="115"/>
      <c r="AF16" s="115"/>
      <c r="AG16" s="122"/>
      <c r="AH16" s="122"/>
      <c r="AI16" s="122"/>
      <c r="AJ16" s="122"/>
      <c r="AK16" s="122"/>
      <c r="AL16" s="122"/>
      <c r="AM16" s="122"/>
    </row>
    <row r="17" spans="1:39" s="211" customFormat="1" ht="13.6" x14ac:dyDescent="0.25">
      <c r="A17" s="407" t="str">
        <f>'topprodukte-benzin-diesel'!A10</f>
        <v>BMW</v>
      </c>
      <c r="B17" s="407" t="str">
        <f>'topprodukte-benzin-diesel'!B10</f>
        <v>2er Active Tourer</v>
      </c>
      <c r="C17" s="407" t="str">
        <f t="shared" si="0"/>
        <v>BMW 2er Active Tourer - Benzin</v>
      </c>
      <c r="D17" s="407">
        <f>'topprodukte-benzin-diesel'!O10</f>
        <v>85</v>
      </c>
      <c r="E17" s="407" t="str">
        <f>'topprodukte-benzin-diesel'!J10</f>
        <v>Benzin</v>
      </c>
      <c r="F17" s="409">
        <f t="shared" si="5"/>
        <v>40.137999999999998</v>
      </c>
      <c r="G17" s="407">
        <f>'topprodukte-benzin-diesel'!I10</f>
        <v>4.7</v>
      </c>
      <c r="H17" s="407">
        <f>'topprodukte-benzin-diesel'!K10</f>
        <v>123</v>
      </c>
      <c r="I17" s="231">
        <f>'topprodukte-benzin-diesel'!F10</f>
        <v>32050</v>
      </c>
      <c r="J17" s="408">
        <f t="shared" si="6"/>
        <v>480.75</v>
      </c>
      <c r="K17" s="408">
        <f>J17*Eingabe!$C$48</f>
        <v>144.22499999999999</v>
      </c>
      <c r="L17" s="408" t="s">
        <v>3124</v>
      </c>
      <c r="M17" s="472"/>
      <c r="N17" s="472"/>
      <c r="O17" s="172"/>
      <c r="P17" s="172"/>
      <c r="Q17" s="172"/>
      <c r="R17" s="172"/>
      <c r="S17" s="172"/>
      <c r="T17" s="172"/>
      <c r="U17" s="172"/>
      <c r="V17" s="172"/>
      <c r="W17" s="114"/>
      <c r="X17" s="114"/>
      <c r="Y17" s="114"/>
      <c r="Z17" s="115"/>
      <c r="AA17" s="115"/>
      <c r="AB17" s="115"/>
      <c r="AC17" s="115"/>
      <c r="AD17" s="115"/>
      <c r="AE17" s="115"/>
      <c r="AF17" s="115"/>
      <c r="AG17" s="122"/>
      <c r="AH17" s="122"/>
      <c r="AI17" s="122"/>
      <c r="AJ17" s="122"/>
      <c r="AK17" s="122"/>
      <c r="AL17" s="122"/>
      <c r="AM17" s="122"/>
    </row>
    <row r="18" spans="1:39" s="211" customFormat="1" ht="13.6" x14ac:dyDescent="0.25">
      <c r="A18" s="407" t="str">
        <f>'topprodukte-benzin-diesel'!A11</f>
        <v>BMW</v>
      </c>
      <c r="B18" s="407" t="str">
        <f>'topprodukte-benzin-diesel'!B11</f>
        <v>2er Gran Tourer</v>
      </c>
      <c r="C18" s="407" t="str">
        <f t="shared" si="0"/>
        <v>BMW 2er Gran Tourer - Benzin</v>
      </c>
      <c r="D18" s="407">
        <f>'topprodukte-benzin-diesel'!O11</f>
        <v>85</v>
      </c>
      <c r="E18" s="407" t="str">
        <f>'topprodukte-benzin-diesel'!J11</f>
        <v>Benzin</v>
      </c>
      <c r="F18" s="409">
        <f t="shared" si="5"/>
        <v>41.845999999999997</v>
      </c>
      <c r="G18" s="407">
        <f>'topprodukte-benzin-diesel'!I11</f>
        <v>4.9000000000000004</v>
      </c>
      <c r="H18" s="407">
        <f>'topprodukte-benzin-diesel'!K11</f>
        <v>128</v>
      </c>
      <c r="I18" s="231">
        <f>'topprodukte-benzin-diesel'!F11</f>
        <v>33600</v>
      </c>
      <c r="J18" s="408">
        <f t="shared" si="6"/>
        <v>504</v>
      </c>
      <c r="K18" s="408">
        <f>J18*Eingabe!$C$48</f>
        <v>151.19999999999999</v>
      </c>
      <c r="L18" s="408" t="s">
        <v>3124</v>
      </c>
      <c r="M18" s="172"/>
      <c r="N18" s="172"/>
      <c r="O18" s="172"/>
      <c r="P18" s="172"/>
      <c r="Q18" s="172"/>
      <c r="R18" s="172"/>
      <c r="S18" s="172"/>
      <c r="T18" s="172"/>
      <c r="U18" s="172"/>
      <c r="V18" s="172"/>
      <c r="W18" s="172"/>
      <c r="X18" s="172"/>
      <c r="Y18" s="172"/>
      <c r="Z18" s="122"/>
      <c r="AA18" s="122"/>
      <c r="AB18" s="122"/>
      <c r="AC18" s="122"/>
      <c r="AD18" s="122"/>
      <c r="AE18" s="122"/>
      <c r="AF18" s="122"/>
      <c r="AG18" s="122"/>
      <c r="AH18" s="122"/>
      <c r="AI18" s="122"/>
      <c r="AJ18" s="122"/>
      <c r="AK18" s="122"/>
      <c r="AL18" s="122"/>
      <c r="AM18" s="122"/>
    </row>
    <row r="19" spans="1:39" s="211" customFormat="1" ht="13.6" x14ac:dyDescent="0.25">
      <c r="A19" s="407" t="str">
        <f>'topprodukte-benzin-diesel'!A12</f>
        <v>BMW</v>
      </c>
      <c r="B19" s="407" t="str">
        <f>'topprodukte-benzin-diesel'!B12</f>
        <v>1er Limousine</v>
      </c>
      <c r="C19" s="407" t="str">
        <f t="shared" si="0"/>
        <v>BMW 1er Limousine - Diesel</v>
      </c>
      <c r="D19" s="407">
        <f>'topprodukte-benzin-diesel'!O12</f>
        <v>85</v>
      </c>
      <c r="E19" s="407" t="str">
        <f>'topprodukte-benzin-diesel'!J12</f>
        <v>Diesel</v>
      </c>
      <c r="F19" s="409">
        <f t="shared" si="5"/>
        <v>45.47925</v>
      </c>
      <c r="G19" s="407">
        <f>'topprodukte-benzin-diesel'!I12</f>
        <v>4.5</v>
      </c>
      <c r="H19" s="407">
        <f>'topprodukte-benzin-diesel'!K12</f>
        <v>118</v>
      </c>
      <c r="I19" s="231">
        <f>'topprodukte-benzin-diesel'!F12</f>
        <v>31160</v>
      </c>
      <c r="J19" s="408">
        <f t="shared" si="6"/>
        <v>467.4</v>
      </c>
      <c r="K19" s="408">
        <f>J19*Eingabe!$C$48</f>
        <v>140.22</v>
      </c>
      <c r="L19" s="408" t="s">
        <v>3124</v>
      </c>
      <c r="M19" s="472"/>
      <c r="N19" s="472"/>
      <c r="O19" s="172"/>
      <c r="P19" s="172"/>
      <c r="Q19" s="172"/>
      <c r="R19" s="172"/>
      <c r="S19" s="172"/>
      <c r="T19" s="172"/>
      <c r="U19" s="172"/>
      <c r="V19" s="172"/>
      <c r="W19" s="114"/>
      <c r="X19" s="114"/>
      <c r="Y19" s="114"/>
      <c r="Z19" s="115"/>
      <c r="AA19" s="115"/>
      <c r="AB19" s="115"/>
      <c r="AC19" s="115"/>
      <c r="AD19" s="115"/>
      <c r="AE19" s="115"/>
      <c r="AF19" s="115"/>
      <c r="AG19" s="122"/>
      <c r="AH19" s="122"/>
      <c r="AI19" s="122"/>
      <c r="AJ19" s="122"/>
      <c r="AK19" s="122"/>
      <c r="AL19" s="122"/>
      <c r="AM19" s="122"/>
    </row>
    <row r="20" spans="1:39" s="211" customFormat="1" ht="13.6" x14ac:dyDescent="0.25">
      <c r="A20" s="407" t="str">
        <f>'topprodukte-benzin-diesel'!A13</f>
        <v>BMW</v>
      </c>
      <c r="B20" s="407" t="str">
        <f>'topprodukte-benzin-diesel'!B13</f>
        <v>3er Limousine</v>
      </c>
      <c r="C20" s="407" t="str">
        <f t="shared" si="0"/>
        <v>BMW 3er Limousine - Diesel</v>
      </c>
      <c r="D20" s="407">
        <f>'topprodukte-benzin-diesel'!O13</f>
        <v>110</v>
      </c>
      <c r="E20" s="407" t="str">
        <f>'topprodukte-benzin-diesel'!J13</f>
        <v>Diesel</v>
      </c>
      <c r="F20" s="409">
        <f t="shared" si="5"/>
        <v>48.511200000000002</v>
      </c>
      <c r="G20" s="407">
        <f>'topprodukte-benzin-diesel'!I13</f>
        <v>4.8</v>
      </c>
      <c r="H20" s="407">
        <f>'topprodukte-benzin-diesel'!K13</f>
        <v>125</v>
      </c>
      <c r="I20" s="231">
        <f>'topprodukte-benzin-diesel'!F13</f>
        <v>38950</v>
      </c>
      <c r="J20" s="408">
        <f t="shared" si="6"/>
        <v>584.25</v>
      </c>
      <c r="K20" s="408">
        <f>J20*Eingabe!$C$48</f>
        <v>175.27500000000001</v>
      </c>
      <c r="L20" s="408" t="s">
        <v>3124</v>
      </c>
      <c r="M20" s="234"/>
      <c r="N20" s="234"/>
      <c r="O20" s="172"/>
      <c r="P20" s="172"/>
      <c r="Q20" s="480"/>
      <c r="R20" s="172"/>
      <c r="S20" s="172"/>
      <c r="T20" s="172"/>
      <c r="U20" s="172"/>
      <c r="V20" s="172"/>
      <c r="W20" s="114"/>
      <c r="X20" s="114"/>
      <c r="Y20" s="114"/>
      <c r="Z20" s="115"/>
      <c r="AA20" s="115"/>
      <c r="AB20" s="115"/>
      <c r="AC20" s="115"/>
      <c r="AD20" s="115"/>
      <c r="AE20" s="115"/>
      <c r="AF20" s="115"/>
      <c r="AG20" s="122"/>
      <c r="AH20" s="122"/>
      <c r="AI20" s="122"/>
      <c r="AJ20" s="122"/>
      <c r="AK20" s="122"/>
      <c r="AL20" s="122"/>
      <c r="AM20" s="122"/>
    </row>
    <row r="21" spans="1:39" s="211" customFormat="1" ht="13.6" x14ac:dyDescent="0.25">
      <c r="A21" s="407" t="str">
        <f>'topprodukte-benzin-diesel'!A14</f>
        <v>BMW</v>
      </c>
      <c r="B21" s="407" t="str">
        <f>'topprodukte-benzin-diesel'!B14</f>
        <v>2er Active Tourer</v>
      </c>
      <c r="C21" s="407" t="str">
        <f t="shared" si="0"/>
        <v>BMW 2er Active Tourer - Diesel</v>
      </c>
      <c r="D21" s="407">
        <f>'topprodukte-benzin-diesel'!O14</f>
        <v>85</v>
      </c>
      <c r="E21" s="407" t="str">
        <f>'topprodukte-benzin-diesel'!J14</f>
        <v>Diesel</v>
      </c>
      <c r="F21" s="409">
        <f t="shared" si="5"/>
        <v>47.500550000000004</v>
      </c>
      <c r="G21" s="407">
        <f>'topprodukte-benzin-diesel'!I14</f>
        <v>4.7</v>
      </c>
      <c r="H21" s="407">
        <f>'topprodukte-benzin-diesel'!K14</f>
        <v>123</v>
      </c>
      <c r="I21" s="231">
        <f>'topprodukte-benzin-diesel'!F14</f>
        <v>32050</v>
      </c>
      <c r="J21" s="408">
        <f t="shared" si="6"/>
        <v>480.75</v>
      </c>
      <c r="K21" s="408">
        <f>J21*Eingabe!$C$48</f>
        <v>144.22499999999999</v>
      </c>
      <c r="L21" s="408" t="s">
        <v>3124</v>
      </c>
      <c r="M21" s="476"/>
      <c r="N21" s="476"/>
      <c r="O21" s="172"/>
      <c r="P21" s="172"/>
      <c r="Q21" s="172"/>
      <c r="R21" s="172"/>
      <c r="S21" s="172"/>
      <c r="T21" s="172"/>
      <c r="U21" s="172"/>
      <c r="V21" s="172"/>
      <c r="W21" s="172"/>
      <c r="X21" s="172"/>
      <c r="Y21" s="172"/>
      <c r="Z21" s="122"/>
      <c r="AA21" s="122"/>
      <c r="AB21" s="122"/>
      <c r="AC21" s="122"/>
      <c r="AD21" s="122"/>
      <c r="AE21" s="122"/>
      <c r="AF21" s="122"/>
      <c r="AG21" s="122"/>
      <c r="AH21" s="122"/>
      <c r="AI21" s="122"/>
      <c r="AJ21" s="122"/>
      <c r="AK21" s="122"/>
      <c r="AL21" s="122"/>
      <c r="AM21" s="122"/>
    </row>
    <row r="22" spans="1:39" s="211" customFormat="1" ht="13.6" x14ac:dyDescent="0.25">
      <c r="A22" s="407" t="str">
        <f>'topprodukte-benzin-diesel'!A15</f>
        <v>Citroen</v>
      </c>
      <c r="B22" s="407" t="str">
        <f>'topprodukte-benzin-diesel'!B15</f>
        <v xml:space="preserve">C1 </v>
      </c>
      <c r="C22" s="407" t="str">
        <f t="shared" si="0"/>
        <v>Citroen C1  - Benzin</v>
      </c>
      <c r="D22" s="407">
        <f>'topprodukte-benzin-diesel'!O15</f>
        <v>53</v>
      </c>
      <c r="E22" s="407" t="str">
        <f>'topprodukte-benzin-diesel'!J15</f>
        <v>Benzin</v>
      </c>
      <c r="F22" s="409">
        <f t="shared" si="5"/>
        <v>40.991999999999997</v>
      </c>
      <c r="G22" s="407">
        <f>'topprodukte-benzin-diesel'!I15</f>
        <v>4.8</v>
      </c>
      <c r="H22" s="407">
        <f>'topprodukte-benzin-diesel'!K15</f>
        <v>110</v>
      </c>
      <c r="I22" s="231">
        <f>'topprodukte-benzin-diesel'!F15</f>
        <v>11490</v>
      </c>
      <c r="J22" s="408">
        <f t="shared" si="6"/>
        <v>172.35</v>
      </c>
      <c r="K22" s="408">
        <f>J22*Eingabe!$C$48</f>
        <v>51.704999999999998</v>
      </c>
      <c r="L22" s="408" t="s">
        <v>3124</v>
      </c>
      <c r="M22" s="472"/>
      <c r="N22" s="472"/>
      <c r="O22" s="172"/>
      <c r="P22" s="172"/>
      <c r="Q22" s="172"/>
      <c r="R22" s="172"/>
      <c r="S22" s="172"/>
      <c r="T22" s="172"/>
      <c r="U22" s="172"/>
      <c r="V22" s="172"/>
      <c r="W22" s="172"/>
      <c r="X22" s="172"/>
      <c r="Y22" s="172"/>
      <c r="Z22" s="122"/>
      <c r="AA22" s="122"/>
      <c r="AB22" s="122"/>
      <c r="AC22" s="122"/>
      <c r="AD22" s="122"/>
      <c r="AE22" s="122"/>
      <c r="AF22" s="122"/>
      <c r="AG22" s="122"/>
      <c r="AH22" s="122"/>
      <c r="AI22" s="122"/>
      <c r="AJ22" s="122"/>
      <c r="AK22" s="122"/>
      <c r="AL22" s="122"/>
      <c r="AM22" s="122"/>
    </row>
    <row r="23" spans="1:39" s="211" customFormat="1" ht="13.6" x14ac:dyDescent="0.25">
      <c r="A23" s="407" t="str">
        <f>'topprodukte-benzin-diesel'!A16</f>
        <v>Citroen</v>
      </c>
      <c r="B23" s="407" t="str">
        <f>'topprodukte-benzin-diesel'!B16</f>
        <v>C3</v>
      </c>
      <c r="C23" s="407" t="str">
        <f t="shared" si="0"/>
        <v>Citroen C3 - Benzin</v>
      </c>
      <c r="D23" s="407">
        <f>'topprodukte-benzin-diesel'!O16</f>
        <v>61</v>
      </c>
      <c r="E23" s="407" t="str">
        <f>'topprodukte-benzin-diesel'!J16</f>
        <v>Benzin</v>
      </c>
      <c r="F23" s="409">
        <f t="shared" si="5"/>
        <v>48.677999999999997</v>
      </c>
      <c r="G23" s="407">
        <f>'topprodukte-benzin-diesel'!I16</f>
        <v>5.7</v>
      </c>
      <c r="H23" s="407">
        <f>'topprodukte-benzin-diesel'!K16</f>
        <v>127</v>
      </c>
      <c r="I23" s="231">
        <f>'topprodukte-benzin-diesel'!F16</f>
        <v>13390</v>
      </c>
      <c r="J23" s="408">
        <f t="shared" si="6"/>
        <v>200.85</v>
      </c>
      <c r="K23" s="408">
        <f>J23*Eingabe!$C$48</f>
        <v>60.254999999999995</v>
      </c>
      <c r="L23" s="408" t="s">
        <v>3124</v>
      </c>
      <c r="M23" s="234"/>
      <c r="N23" s="234"/>
      <c r="O23" s="172"/>
      <c r="P23" s="172"/>
      <c r="Q23" s="480"/>
      <c r="R23" s="172"/>
      <c r="S23" s="172"/>
      <c r="T23" s="172"/>
      <c r="U23" s="172"/>
      <c r="V23" s="172"/>
      <c r="W23" s="114"/>
      <c r="X23" s="114"/>
      <c r="Y23" s="114"/>
      <c r="Z23" s="115"/>
      <c r="AA23" s="115"/>
      <c r="AB23" s="115"/>
      <c r="AC23" s="115"/>
      <c r="AD23" s="115"/>
      <c r="AE23" s="115"/>
      <c r="AF23" s="115"/>
      <c r="AG23" s="122"/>
      <c r="AH23" s="122"/>
      <c r="AI23" s="122"/>
      <c r="AJ23" s="122"/>
      <c r="AK23" s="122"/>
      <c r="AL23" s="122"/>
      <c r="AM23" s="122"/>
    </row>
    <row r="24" spans="1:39" s="211" customFormat="1" ht="13.6" x14ac:dyDescent="0.25">
      <c r="A24" s="407" t="str">
        <f>'topprodukte-benzin-diesel'!A17</f>
        <v>Citroen</v>
      </c>
      <c r="B24" s="407" t="str">
        <f>'topprodukte-benzin-diesel'!B17</f>
        <v>C3 Aircross</v>
      </c>
      <c r="C24" s="407" t="str">
        <f t="shared" si="0"/>
        <v>Citroen C3 Aircross - Benzin</v>
      </c>
      <c r="D24" s="407">
        <f>'topprodukte-benzin-diesel'!O17</f>
        <v>81</v>
      </c>
      <c r="E24" s="407" t="str">
        <f>'topprodukte-benzin-diesel'!J17</f>
        <v>Benzin</v>
      </c>
      <c r="F24" s="409">
        <f t="shared" si="5"/>
        <v>52.947999999999993</v>
      </c>
      <c r="G24" s="407">
        <f>'topprodukte-benzin-diesel'!I17</f>
        <v>6.2</v>
      </c>
      <c r="H24" s="407">
        <f>'topprodukte-benzin-diesel'!K17</f>
        <v>141</v>
      </c>
      <c r="I24" s="231">
        <f>'topprodukte-benzin-diesel'!F17</f>
        <v>20320</v>
      </c>
      <c r="J24" s="408">
        <f t="shared" si="6"/>
        <v>406.40000000000003</v>
      </c>
      <c r="K24" s="408">
        <f>J24*Eingabe!$C$48</f>
        <v>121.92</v>
      </c>
      <c r="L24" s="408" t="s">
        <v>3124</v>
      </c>
      <c r="M24" s="472"/>
      <c r="N24" s="472"/>
      <c r="O24" s="172"/>
      <c r="P24" s="172"/>
      <c r="Q24" s="172"/>
      <c r="R24" s="172"/>
      <c r="S24" s="172"/>
      <c r="T24" s="172"/>
      <c r="U24" s="172"/>
      <c r="V24" s="172"/>
      <c r="W24" s="172"/>
      <c r="X24" s="172"/>
      <c r="Y24" s="172"/>
      <c r="Z24" s="122"/>
      <c r="AA24" s="122"/>
      <c r="AB24" s="122"/>
      <c r="AC24" s="122"/>
      <c r="AD24" s="122"/>
      <c r="AE24" s="122"/>
      <c r="AF24" s="122"/>
      <c r="AG24" s="122"/>
      <c r="AH24" s="122"/>
      <c r="AI24" s="122"/>
      <c r="AJ24" s="122"/>
      <c r="AK24" s="122"/>
      <c r="AL24" s="122"/>
      <c r="AM24" s="122"/>
    </row>
    <row r="25" spans="1:39" s="211" customFormat="1" ht="13.6" x14ac:dyDescent="0.25">
      <c r="A25" s="407" t="str">
        <f>'topprodukte-benzin-diesel'!A18</f>
        <v>Citroen</v>
      </c>
      <c r="B25" s="407" t="str">
        <f>'topprodukte-benzin-diesel'!B18</f>
        <v>Grand C4 Spacetourer</v>
      </c>
      <c r="C25" s="407" t="str">
        <f t="shared" si="0"/>
        <v>Citroen Grand C4 Spacetourer - Benzin</v>
      </c>
      <c r="D25" s="407">
        <f>'topprodukte-benzin-diesel'!O18</f>
        <v>96</v>
      </c>
      <c r="E25" s="407" t="str">
        <f>'topprodukte-benzin-diesel'!J18</f>
        <v>Benzin</v>
      </c>
      <c r="F25" s="409">
        <f t="shared" si="5"/>
        <v>53.801999999999992</v>
      </c>
      <c r="G25" s="407">
        <f>'topprodukte-benzin-diesel'!I18</f>
        <v>6.3</v>
      </c>
      <c r="H25" s="407">
        <f>'topprodukte-benzin-diesel'!K18</f>
        <v>143</v>
      </c>
      <c r="I25" s="231">
        <f>'topprodukte-benzin-diesel'!F18</f>
        <v>28550</v>
      </c>
      <c r="J25" s="408">
        <f t="shared" si="6"/>
        <v>571</v>
      </c>
      <c r="K25" s="408">
        <f>J25*Eingabe!$C$48</f>
        <v>171.29999999999998</v>
      </c>
      <c r="L25" s="408" t="s">
        <v>3124</v>
      </c>
      <c r="M25" s="172"/>
      <c r="N25" s="172"/>
      <c r="O25" s="172"/>
      <c r="P25" s="172"/>
      <c r="Q25" s="172"/>
      <c r="R25" s="172"/>
      <c r="S25" s="122"/>
      <c r="T25" s="122"/>
      <c r="U25" s="122"/>
      <c r="V25" s="172"/>
      <c r="W25" s="172"/>
      <c r="X25" s="172"/>
      <c r="Y25" s="172"/>
      <c r="Z25" s="122"/>
      <c r="AA25" s="122"/>
      <c r="AB25" s="122"/>
      <c r="AC25" s="122"/>
      <c r="AD25" s="122"/>
      <c r="AE25" s="122"/>
      <c r="AF25" s="122"/>
      <c r="AG25" s="122"/>
      <c r="AH25" s="122"/>
      <c r="AI25" s="122"/>
      <c r="AJ25" s="122"/>
      <c r="AK25" s="122"/>
      <c r="AL25" s="122"/>
      <c r="AM25" s="122"/>
    </row>
    <row r="26" spans="1:39" s="211" customFormat="1" ht="13.6" x14ac:dyDescent="0.25">
      <c r="A26" s="407" t="str">
        <f>'topprodukte-benzin-diesel'!A19</f>
        <v>Citroen</v>
      </c>
      <c r="B26" s="407" t="str">
        <f>'topprodukte-benzin-diesel'!B19</f>
        <v>C5 Aircross</v>
      </c>
      <c r="C26" s="407" t="str">
        <f t="shared" si="0"/>
        <v>Citroen C5 Aircross - Benzin</v>
      </c>
      <c r="D26" s="407">
        <f>'topprodukte-benzin-diesel'!O19</f>
        <v>96</v>
      </c>
      <c r="E26" s="407" t="str">
        <f>'topprodukte-benzin-diesel'!J19</f>
        <v>Benzin</v>
      </c>
      <c r="F26" s="409">
        <f t="shared" si="5"/>
        <v>56.36399999999999</v>
      </c>
      <c r="G26" s="407">
        <f>'topprodukte-benzin-diesel'!I19</f>
        <v>6.6</v>
      </c>
      <c r="H26" s="407">
        <f>'topprodukte-benzin-diesel'!K19</f>
        <v>149</v>
      </c>
      <c r="I26" s="231">
        <f>'topprodukte-benzin-diesel'!F19</f>
        <v>26690</v>
      </c>
      <c r="J26" s="408">
        <f t="shared" si="6"/>
        <v>533.79999999999995</v>
      </c>
      <c r="K26" s="408">
        <f>J26*Eingabe!$C$48</f>
        <v>160.13999999999999</v>
      </c>
      <c r="L26" s="408" t="s">
        <v>3124</v>
      </c>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row>
    <row r="27" spans="1:39" s="211" customFormat="1" ht="13.6" x14ac:dyDescent="0.25">
      <c r="A27" s="407" t="str">
        <f>'topprodukte-benzin-diesel'!A20</f>
        <v>Citroen</v>
      </c>
      <c r="B27" s="407" t="str">
        <f>'topprodukte-benzin-diesel'!B20</f>
        <v>C4 Cactus</v>
      </c>
      <c r="C27" s="407" t="str">
        <f t="shared" si="0"/>
        <v>Citroen C4 Cactus - Benzin</v>
      </c>
      <c r="D27" s="407">
        <f>'topprodukte-benzin-diesel'!O20</f>
        <v>75</v>
      </c>
      <c r="E27" s="407" t="str">
        <f>'topprodukte-benzin-diesel'!J20</f>
        <v>Benzin</v>
      </c>
      <c r="F27" s="409">
        <f t="shared" si="5"/>
        <v>38.429999999999993</v>
      </c>
      <c r="G27" s="407">
        <f>'topprodukte-benzin-diesel'!I20</f>
        <v>4.5</v>
      </c>
      <c r="H27" s="407">
        <f>'topprodukte-benzin-diesel'!K20</f>
        <v>118</v>
      </c>
      <c r="I27" s="231">
        <f>'topprodukte-benzin-diesel'!F20</f>
        <v>20275</v>
      </c>
      <c r="J27" s="408">
        <f t="shared" si="6"/>
        <v>304.125</v>
      </c>
      <c r="K27" s="408">
        <f>J27*Eingabe!$C$48</f>
        <v>91.237499999999997</v>
      </c>
      <c r="L27" s="408" t="s">
        <v>3124</v>
      </c>
      <c r="M27" s="122"/>
      <c r="N27" s="122"/>
      <c r="O27" s="122"/>
      <c r="P27" s="122"/>
      <c r="Q27" s="122"/>
      <c r="R27" s="122"/>
      <c r="S27" s="172"/>
      <c r="T27" s="172"/>
      <c r="U27" s="172"/>
      <c r="V27" s="122"/>
      <c r="W27" s="122"/>
      <c r="X27" s="122"/>
      <c r="Y27" s="122"/>
      <c r="Z27" s="122"/>
      <c r="AA27" s="122"/>
      <c r="AB27" s="122"/>
      <c r="AC27" s="122"/>
      <c r="AD27" s="122"/>
      <c r="AE27" s="122"/>
      <c r="AF27" s="122"/>
      <c r="AG27" s="122"/>
      <c r="AH27" s="122"/>
      <c r="AI27" s="122"/>
      <c r="AJ27" s="122"/>
      <c r="AK27" s="122"/>
      <c r="AL27" s="122"/>
      <c r="AM27" s="122"/>
    </row>
    <row r="28" spans="1:39" s="211" customFormat="1" ht="13.6" x14ac:dyDescent="0.25">
      <c r="A28" s="407" t="str">
        <f>'topprodukte-benzin-diesel'!A21</f>
        <v>Citroen</v>
      </c>
      <c r="B28" s="407" t="str">
        <f>'topprodukte-benzin-diesel'!B21</f>
        <v>C3 Aircross</v>
      </c>
      <c r="C28" s="407" t="str">
        <f t="shared" si="0"/>
        <v>Citroen C3 Aircross - Benzin</v>
      </c>
      <c r="D28" s="407">
        <f>'topprodukte-benzin-diesel'!O21</f>
        <v>75</v>
      </c>
      <c r="E28" s="407" t="str">
        <f>'topprodukte-benzin-diesel'!J21</f>
        <v>Benzin</v>
      </c>
      <c r="F28" s="409">
        <f t="shared" si="5"/>
        <v>40.137999999999998</v>
      </c>
      <c r="G28" s="407">
        <f>'topprodukte-benzin-diesel'!I21</f>
        <v>4.7</v>
      </c>
      <c r="H28" s="407">
        <f>'topprodukte-benzin-diesel'!K21</f>
        <v>123</v>
      </c>
      <c r="I28" s="231">
        <f>'topprodukte-benzin-diesel'!F21</f>
        <v>20790</v>
      </c>
      <c r="J28" s="408">
        <f t="shared" si="6"/>
        <v>311.84999999999997</v>
      </c>
      <c r="K28" s="408">
        <f>J28*Eingabe!$C$48</f>
        <v>93.554999999999993</v>
      </c>
      <c r="L28" s="408" t="s">
        <v>3124</v>
      </c>
      <c r="M28" s="472"/>
      <c r="N28" s="472"/>
      <c r="O28" s="172"/>
      <c r="P28" s="172"/>
      <c r="Q28" s="172"/>
      <c r="R28" s="172"/>
      <c r="S28" s="172"/>
      <c r="T28" s="172"/>
      <c r="U28" s="172"/>
      <c r="V28" s="172"/>
      <c r="W28" s="172"/>
      <c r="X28" s="172"/>
      <c r="Y28" s="172"/>
      <c r="Z28" s="122"/>
      <c r="AA28" s="122"/>
      <c r="AB28" s="122"/>
      <c r="AC28" s="122"/>
      <c r="AD28" s="122"/>
      <c r="AE28" s="122"/>
      <c r="AF28" s="122"/>
      <c r="AG28" s="122"/>
      <c r="AH28" s="122"/>
      <c r="AI28" s="122"/>
      <c r="AJ28" s="122"/>
      <c r="AK28" s="122"/>
      <c r="AL28" s="122"/>
      <c r="AM28" s="122"/>
    </row>
    <row r="29" spans="1:39" s="211" customFormat="1" ht="12.75" customHeight="1" x14ac:dyDescent="0.25">
      <c r="A29" s="407" t="str">
        <f>'topprodukte-benzin-diesel'!A22</f>
        <v>Citroen</v>
      </c>
      <c r="B29" s="407" t="str">
        <f>'topprodukte-benzin-diesel'!B22</f>
        <v>C4 Spacetourer</v>
      </c>
      <c r="C29" s="407" t="str">
        <f t="shared" si="0"/>
        <v>Citroen C4 Spacetourer - Benzin</v>
      </c>
      <c r="D29" s="407">
        <f>'topprodukte-benzin-diesel'!O22</f>
        <v>96</v>
      </c>
      <c r="E29" s="407" t="str">
        <f>'topprodukte-benzin-diesel'!J22</f>
        <v>Benzin</v>
      </c>
      <c r="F29" s="409">
        <f t="shared" si="5"/>
        <v>42.699999999999996</v>
      </c>
      <c r="G29" s="407">
        <f>'topprodukte-benzin-diesel'!I22</f>
        <v>5</v>
      </c>
      <c r="H29" s="407">
        <f>'topprodukte-benzin-diesel'!K22</f>
        <v>130</v>
      </c>
      <c r="I29" s="231">
        <f>'topprodukte-benzin-diesel'!F22</f>
        <v>28400</v>
      </c>
      <c r="J29" s="408">
        <f t="shared" si="6"/>
        <v>426</v>
      </c>
      <c r="K29" s="408">
        <f>J29*Eingabe!$C$48</f>
        <v>127.8</v>
      </c>
      <c r="L29" s="408" t="s">
        <v>3124</v>
      </c>
      <c r="M29" s="172"/>
      <c r="N29" s="172"/>
      <c r="O29" s="172"/>
      <c r="P29" s="172"/>
      <c r="Q29" s="172"/>
      <c r="R29" s="172"/>
      <c r="S29" s="122"/>
      <c r="T29" s="122"/>
      <c r="U29" s="122"/>
      <c r="V29" s="172"/>
      <c r="W29" s="172"/>
      <c r="X29" s="172"/>
      <c r="Y29" s="172"/>
      <c r="Z29" s="122"/>
      <c r="AA29" s="122"/>
      <c r="AB29" s="122"/>
      <c r="AC29" s="122"/>
      <c r="AD29" s="122"/>
      <c r="AE29" s="122"/>
      <c r="AF29" s="122"/>
      <c r="AG29" s="122"/>
      <c r="AH29" s="122"/>
      <c r="AI29" s="122"/>
      <c r="AJ29" s="122"/>
      <c r="AK29" s="122"/>
      <c r="AL29" s="122"/>
      <c r="AM29" s="122"/>
    </row>
    <row r="30" spans="1:39" s="211" customFormat="1" ht="13.6" x14ac:dyDescent="0.25">
      <c r="A30" s="407" t="str">
        <f>'topprodukte-benzin-diesel'!A23</f>
        <v>Citroen</v>
      </c>
      <c r="B30" s="407" t="str">
        <f>'topprodukte-benzin-diesel'!B23</f>
        <v>C5 Aircross</v>
      </c>
      <c r="C30" s="407" t="str">
        <f t="shared" si="0"/>
        <v>Citroen C5 Aircross - Benzin</v>
      </c>
      <c r="D30" s="407">
        <f>'topprodukte-benzin-diesel'!O23</f>
        <v>96</v>
      </c>
      <c r="E30" s="407" t="str">
        <f>'topprodukte-benzin-diesel'!J23</f>
        <v>Benzin</v>
      </c>
      <c r="F30" s="409">
        <f t="shared" si="5"/>
        <v>44.407999999999994</v>
      </c>
      <c r="G30" s="407">
        <f>'topprodukte-benzin-diesel'!I23</f>
        <v>5.2</v>
      </c>
      <c r="H30" s="407">
        <f>'topprodukte-benzin-diesel'!K23</f>
        <v>138</v>
      </c>
      <c r="I30" s="231">
        <f>'topprodukte-benzin-diesel'!F23</f>
        <v>29390</v>
      </c>
      <c r="J30" s="408">
        <f t="shared" si="6"/>
        <v>440.84999999999997</v>
      </c>
      <c r="K30" s="408">
        <f>J30*Eingabe!$C$48</f>
        <v>132.255</v>
      </c>
      <c r="L30" s="408" t="s">
        <v>3124</v>
      </c>
      <c r="M30" s="122"/>
      <c r="N30" s="122"/>
      <c r="O30" s="122"/>
      <c r="P30" s="122"/>
      <c r="Q30" s="122"/>
      <c r="R30" s="122"/>
      <c r="S30" s="122"/>
      <c r="T30" s="122"/>
      <c r="U30" s="122"/>
      <c r="V30" s="122"/>
      <c r="W30" s="122"/>
      <c r="X30" s="122"/>
      <c r="Y30" s="122"/>
      <c r="Z30" s="122"/>
      <c r="AA30" s="122"/>
      <c r="AB30" s="122"/>
      <c r="AC30" s="122"/>
      <c r="AE30" s="122"/>
      <c r="AF30" s="122"/>
      <c r="AG30" s="122"/>
      <c r="AH30" s="122"/>
      <c r="AI30" s="122"/>
      <c r="AJ30" s="122"/>
      <c r="AK30" s="122"/>
      <c r="AL30" s="122"/>
      <c r="AM30" s="122"/>
    </row>
    <row r="31" spans="1:39" s="211" customFormat="1" ht="13.6" x14ac:dyDescent="0.25">
      <c r="A31" s="407" t="str">
        <f>'topprodukte-benzin-diesel'!A24</f>
        <v>Citroen</v>
      </c>
      <c r="B31" s="407" t="str">
        <f>'topprodukte-benzin-diesel'!B24</f>
        <v>C3</v>
      </c>
      <c r="C31" s="407" t="str">
        <f t="shared" si="0"/>
        <v>Citroen C3 - Diesel</v>
      </c>
      <c r="D31" s="407">
        <f>'topprodukte-benzin-diesel'!O24</f>
        <v>75</v>
      </c>
      <c r="E31" s="407" t="str">
        <f>'topprodukte-benzin-diesel'!J24</f>
        <v>Diesel</v>
      </c>
      <c r="F31" s="409">
        <f t="shared" si="5"/>
        <v>45.47925</v>
      </c>
      <c r="G31" s="407">
        <f>'topprodukte-benzin-diesel'!I24</f>
        <v>4.5</v>
      </c>
      <c r="H31" s="407">
        <f>'topprodukte-benzin-diesel'!K24</f>
        <v>117</v>
      </c>
      <c r="I31" s="231">
        <f>'topprodukte-benzin-diesel'!F24</f>
        <v>18290</v>
      </c>
      <c r="J31" s="408">
        <f t="shared" si="6"/>
        <v>274.34999999999997</v>
      </c>
      <c r="K31" s="408">
        <f>J31*Eingabe!$C$48</f>
        <v>82.304999999999993</v>
      </c>
      <c r="L31" s="408" t="s">
        <v>3124</v>
      </c>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row>
    <row r="32" spans="1:39" s="211" customFormat="1" ht="13.6" x14ac:dyDescent="0.25">
      <c r="A32" s="407" t="str">
        <f>'topprodukte-benzin-diesel'!A25</f>
        <v>Citroen</v>
      </c>
      <c r="B32" s="407" t="str">
        <f>'topprodukte-benzin-diesel'!B25</f>
        <v>C4 Cactus</v>
      </c>
      <c r="C32" s="407" t="str">
        <f t="shared" si="0"/>
        <v>Citroen C4 Cactus - Diesel</v>
      </c>
      <c r="D32" s="407">
        <f>'topprodukte-benzin-diesel'!O25</f>
        <v>75</v>
      </c>
      <c r="E32" s="407" t="str">
        <f>'topprodukte-benzin-diesel'!J25</f>
        <v>Diesel</v>
      </c>
      <c r="F32" s="409">
        <f t="shared" si="5"/>
        <v>45.47925</v>
      </c>
      <c r="G32" s="407">
        <f>'topprodukte-benzin-diesel'!I25</f>
        <v>4.5</v>
      </c>
      <c r="H32" s="407">
        <f>'topprodukte-benzin-diesel'!K25</f>
        <v>118</v>
      </c>
      <c r="I32" s="231">
        <f>'topprodukte-benzin-diesel'!F25</f>
        <v>20275</v>
      </c>
      <c r="J32" s="408">
        <f t="shared" si="6"/>
        <v>304.125</v>
      </c>
      <c r="K32" s="408">
        <f>J32*Eingabe!$C$48</f>
        <v>91.237499999999997</v>
      </c>
      <c r="L32" s="408" t="s">
        <v>3124</v>
      </c>
      <c r="M32" s="122"/>
      <c r="N32" s="122"/>
      <c r="O32" s="122"/>
      <c r="P32" s="122"/>
      <c r="Q32" s="122"/>
      <c r="R32" s="122"/>
      <c r="S32" s="172"/>
      <c r="T32" s="172"/>
      <c r="U32" s="172"/>
      <c r="V32" s="122"/>
      <c r="W32" s="122"/>
      <c r="X32" s="122"/>
      <c r="Y32" s="122"/>
      <c r="Z32" s="122"/>
      <c r="AA32" s="122"/>
      <c r="AB32" s="122"/>
      <c r="AC32" s="122"/>
      <c r="AD32" s="122"/>
      <c r="AE32" s="122"/>
      <c r="AF32" s="122"/>
      <c r="AG32" s="122"/>
      <c r="AH32" s="122"/>
      <c r="AI32" s="122"/>
      <c r="AJ32" s="122"/>
      <c r="AK32" s="122"/>
      <c r="AL32" s="122"/>
      <c r="AM32" s="122"/>
    </row>
    <row r="33" spans="1:39" s="211" customFormat="1" ht="13.6" x14ac:dyDescent="0.25">
      <c r="A33" s="407" t="str">
        <f>'topprodukte-benzin-diesel'!A26</f>
        <v>Citroen</v>
      </c>
      <c r="B33" s="407" t="str">
        <f>'topprodukte-benzin-diesel'!B26</f>
        <v>C3 Aircross</v>
      </c>
      <c r="C33" s="407" t="str">
        <f t="shared" si="0"/>
        <v>Citroen C3 Aircross - Diesel</v>
      </c>
      <c r="D33" s="407">
        <f>'topprodukte-benzin-diesel'!O26</f>
        <v>75</v>
      </c>
      <c r="E33" s="407" t="str">
        <f>'topprodukte-benzin-diesel'!J26</f>
        <v>Diesel</v>
      </c>
      <c r="F33" s="409">
        <f t="shared" si="5"/>
        <v>47.500550000000004</v>
      </c>
      <c r="G33" s="407">
        <f>'topprodukte-benzin-diesel'!I26</f>
        <v>4.7</v>
      </c>
      <c r="H33" s="407">
        <f>'topprodukte-benzin-diesel'!K26</f>
        <v>123</v>
      </c>
      <c r="I33" s="231">
        <f>'topprodukte-benzin-diesel'!F26</f>
        <v>20790</v>
      </c>
      <c r="J33" s="408">
        <f t="shared" si="6"/>
        <v>311.84999999999997</v>
      </c>
      <c r="K33" s="408">
        <f>J33*Eingabe!$C$48</f>
        <v>93.554999999999993</v>
      </c>
      <c r="L33" s="408" t="s">
        <v>3124</v>
      </c>
      <c r="M33" s="476"/>
      <c r="N33" s="476"/>
      <c r="O33" s="172"/>
      <c r="P33" s="172"/>
      <c r="Q33" s="172"/>
      <c r="R33" s="172"/>
      <c r="S33" s="122"/>
      <c r="T33" s="122"/>
      <c r="U33" s="122"/>
      <c r="V33" s="172"/>
      <c r="W33" s="114"/>
      <c r="X33" s="114"/>
      <c r="Y33" s="114"/>
      <c r="Z33" s="115"/>
      <c r="AA33" s="115"/>
      <c r="AB33" s="115"/>
      <c r="AC33" s="115"/>
      <c r="AD33" s="115"/>
      <c r="AE33" s="115"/>
      <c r="AF33" s="115"/>
      <c r="AG33" s="122"/>
      <c r="AH33" s="122"/>
      <c r="AI33" s="122"/>
      <c r="AJ33" s="122"/>
      <c r="AK33" s="122"/>
      <c r="AL33" s="122"/>
      <c r="AM33" s="122"/>
    </row>
    <row r="34" spans="1:39" s="211" customFormat="1" ht="13.6" x14ac:dyDescent="0.25">
      <c r="A34" s="407" t="str">
        <f>'topprodukte-benzin-diesel'!A27</f>
        <v>Dacia</v>
      </c>
      <c r="B34" s="407" t="str">
        <f>'topprodukte-benzin-diesel'!B27</f>
        <v>Logan MCV</v>
      </c>
      <c r="C34" s="407" t="str">
        <f t="shared" si="0"/>
        <v>Dacia Logan MCV - Benzin</v>
      </c>
      <c r="D34" s="407">
        <f>'topprodukte-benzin-diesel'!O27</f>
        <v>54</v>
      </c>
      <c r="E34" s="407" t="str">
        <f>'topprodukte-benzin-diesel'!J27</f>
        <v>Benzin</v>
      </c>
      <c r="F34" s="409">
        <f t="shared" si="5"/>
        <v>48.677999999999997</v>
      </c>
      <c r="G34" s="407">
        <f>'topprodukte-benzin-diesel'!I27</f>
        <v>5.7</v>
      </c>
      <c r="H34" s="407">
        <f>'topprodukte-benzin-diesel'!K27</f>
        <v>129</v>
      </c>
      <c r="I34" s="231">
        <f>'topprodukte-benzin-diesel'!F27</f>
        <v>8590</v>
      </c>
      <c r="J34" s="408">
        <f t="shared" si="6"/>
        <v>128.85</v>
      </c>
      <c r="K34" s="408">
        <f>J34*Eingabe!$C$48</f>
        <v>38.654999999999994</v>
      </c>
      <c r="L34" s="408" t="s">
        <v>3124</v>
      </c>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row>
    <row r="35" spans="1:39" s="211" customFormat="1" ht="13.6" x14ac:dyDescent="0.25">
      <c r="A35" s="407" t="str">
        <f>'topprodukte-benzin-diesel'!A28</f>
        <v>Dacia</v>
      </c>
      <c r="B35" s="407" t="str">
        <f>'topprodukte-benzin-diesel'!B28</f>
        <v>Sandero</v>
      </c>
      <c r="C35" s="407" t="str">
        <f t="shared" si="0"/>
        <v>Dacia Sandero - Benzin</v>
      </c>
      <c r="D35" s="407">
        <f>'topprodukte-benzin-diesel'!O28</f>
        <v>54</v>
      </c>
      <c r="E35" s="407" t="str">
        <f>'topprodukte-benzin-diesel'!J28</f>
        <v>Benzin</v>
      </c>
      <c r="F35" s="409">
        <f t="shared" si="5"/>
        <v>48.677999999999997</v>
      </c>
      <c r="G35" s="407">
        <f>'topprodukte-benzin-diesel'!I28</f>
        <v>5.7</v>
      </c>
      <c r="H35" s="407">
        <f>'topprodukte-benzin-diesel'!K28</f>
        <v>129</v>
      </c>
      <c r="I35" s="231">
        <f>'topprodukte-benzin-diesel'!F28</f>
        <v>7790</v>
      </c>
      <c r="J35" s="408">
        <f t="shared" si="6"/>
        <v>116.85</v>
      </c>
      <c r="K35" s="408">
        <f>J35*Eingabe!$C$48</f>
        <v>35.055</v>
      </c>
      <c r="L35" s="408" t="s">
        <v>3124</v>
      </c>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row>
    <row r="36" spans="1:39" s="211" customFormat="1" ht="13.6" x14ac:dyDescent="0.25">
      <c r="A36" s="407" t="str">
        <f>'topprodukte-benzin-diesel'!A29</f>
        <v>Dacia</v>
      </c>
      <c r="B36" s="407" t="str">
        <f>'topprodukte-benzin-diesel'!B29</f>
        <v>Duster</v>
      </c>
      <c r="C36" s="407" t="str">
        <f t="shared" si="0"/>
        <v>Dacia Duster - Benzin</v>
      </c>
      <c r="D36" s="407">
        <f>'topprodukte-benzin-diesel'!O29</f>
        <v>74</v>
      </c>
      <c r="E36" s="407" t="str">
        <f>'topprodukte-benzin-diesel'!J29</f>
        <v>Benzin</v>
      </c>
      <c r="F36" s="409">
        <f t="shared" ref="F36:F45" si="7">IF(E36="Benzin",$O$3*G36,$O$4*G36)</f>
        <v>52.093999999999994</v>
      </c>
      <c r="G36" s="407">
        <f>'topprodukte-benzin-diesel'!I29</f>
        <v>6.1</v>
      </c>
      <c r="H36" s="407">
        <f>'topprodukte-benzin-diesel'!K29</f>
        <v>138</v>
      </c>
      <c r="I36" s="231">
        <f>'topprodukte-benzin-diesel'!F29</f>
        <v>12990</v>
      </c>
      <c r="J36" s="408">
        <f t="shared" si="6"/>
        <v>194.85</v>
      </c>
      <c r="K36" s="408">
        <f>J36*Eingabe!$C$48</f>
        <v>58.454999999999998</v>
      </c>
      <c r="L36" s="408" t="s">
        <v>3124</v>
      </c>
      <c r="M36" s="122"/>
      <c r="N36" s="122"/>
      <c r="O36" s="122"/>
      <c r="P36" s="122"/>
      <c r="Q36" s="122"/>
      <c r="R36" s="122"/>
      <c r="S36" s="172"/>
      <c r="T36" s="172"/>
      <c r="U36" s="172"/>
      <c r="V36" s="122"/>
      <c r="W36" s="122"/>
      <c r="X36" s="122"/>
      <c r="Y36" s="122"/>
      <c r="Z36" s="122"/>
      <c r="AA36" s="122"/>
      <c r="AB36" s="122"/>
      <c r="AC36" s="122"/>
      <c r="AD36" s="122"/>
      <c r="AE36" s="122"/>
      <c r="AF36" s="122"/>
      <c r="AG36" s="122"/>
      <c r="AH36" s="122"/>
      <c r="AI36" s="122"/>
      <c r="AJ36" s="122"/>
      <c r="AK36" s="122"/>
      <c r="AL36" s="122"/>
      <c r="AM36" s="122"/>
    </row>
    <row r="37" spans="1:39" s="211" customFormat="1" ht="13.6" x14ac:dyDescent="0.25">
      <c r="A37" s="407" t="str">
        <f>'topprodukte-benzin-diesel'!A30</f>
        <v>Dacia</v>
      </c>
      <c r="B37" s="407" t="str">
        <f>'topprodukte-benzin-diesel'!B30</f>
        <v>Sandero</v>
      </c>
      <c r="C37" s="407" t="str">
        <f t="shared" si="0"/>
        <v>Dacia Sandero - Benzin</v>
      </c>
      <c r="D37" s="407">
        <f>'topprodukte-benzin-diesel'!O30</f>
        <v>55</v>
      </c>
      <c r="E37" s="407" t="str">
        <f>'topprodukte-benzin-diesel'!J30</f>
        <v>Benzin</v>
      </c>
      <c r="F37" s="409">
        <f t="shared" si="7"/>
        <v>37.576000000000001</v>
      </c>
      <c r="G37" s="407">
        <f>'topprodukte-benzin-diesel'!I30</f>
        <v>4.4000000000000004</v>
      </c>
      <c r="H37" s="407">
        <f>'topprodukte-benzin-diesel'!K30</f>
        <v>116</v>
      </c>
      <c r="I37" s="231">
        <f>'topprodukte-benzin-diesel'!F30</f>
        <v>11340</v>
      </c>
      <c r="J37" s="408">
        <f t="shared" ref="J37:J100" si="8">IF(H37&gt;$U$4,IF(I37*0.02&gt;960,960,I37*0.02),IF(H37&gt;0,IF(I37*0.015&gt;720,720,I37*0.015),0))</f>
        <v>170.1</v>
      </c>
      <c r="K37" s="408">
        <f>J37*Eingabe!$C$48</f>
        <v>51.029999999999994</v>
      </c>
      <c r="L37" s="408" t="s">
        <v>3124</v>
      </c>
      <c r="M37" s="477"/>
      <c r="N37" s="477"/>
      <c r="O37" s="172"/>
      <c r="P37" s="172"/>
      <c r="Q37" s="172"/>
      <c r="R37" s="172"/>
      <c r="S37" s="172"/>
      <c r="T37" s="172"/>
      <c r="U37" s="114"/>
      <c r="V37" s="172"/>
      <c r="W37" s="114"/>
      <c r="X37" s="114"/>
      <c r="Y37" s="114"/>
      <c r="Z37" s="115"/>
      <c r="AA37" s="115"/>
      <c r="AB37" s="115"/>
      <c r="AC37" s="115"/>
      <c r="AD37" s="115"/>
      <c r="AE37" s="115"/>
      <c r="AF37" s="115"/>
      <c r="AG37" s="122"/>
      <c r="AH37" s="122"/>
      <c r="AI37" s="122"/>
      <c r="AJ37" s="122"/>
      <c r="AK37" s="122"/>
      <c r="AL37" s="122"/>
      <c r="AM37" s="122"/>
    </row>
    <row r="38" spans="1:39" s="211" customFormat="1" ht="13.6" x14ac:dyDescent="0.25">
      <c r="A38" s="407" t="str">
        <f>'topprodukte-benzin-diesel'!A31</f>
        <v>Dacia</v>
      </c>
      <c r="B38" s="407" t="str">
        <f>'topprodukte-benzin-diesel'!B31</f>
        <v>Lodgy</v>
      </c>
      <c r="C38" s="407" t="str">
        <f t="shared" si="0"/>
        <v>Dacia Lodgy - Benzin</v>
      </c>
      <c r="D38" s="407">
        <f>'topprodukte-benzin-diesel'!O31</f>
        <v>70</v>
      </c>
      <c r="E38" s="407" t="str">
        <f>'topprodukte-benzin-diesel'!J31</f>
        <v>Benzin</v>
      </c>
      <c r="F38" s="409">
        <f t="shared" si="7"/>
        <v>40.991999999999997</v>
      </c>
      <c r="G38" s="407">
        <f>'topprodukte-benzin-diesel'!I31</f>
        <v>4.8</v>
      </c>
      <c r="H38" s="407">
        <f>'topprodukte-benzin-diesel'!K31</f>
        <v>126</v>
      </c>
      <c r="I38" s="231">
        <f>'topprodukte-benzin-diesel'!F31</f>
        <v>15350</v>
      </c>
      <c r="J38" s="408">
        <f t="shared" si="8"/>
        <v>230.25</v>
      </c>
      <c r="K38" s="408">
        <f>J38*Eingabe!$C$48</f>
        <v>69.075000000000003</v>
      </c>
      <c r="L38" s="408" t="s">
        <v>3124</v>
      </c>
      <c r="M38" s="172"/>
      <c r="N38" s="172"/>
      <c r="O38" s="172"/>
      <c r="P38" s="172"/>
      <c r="Q38" s="172"/>
      <c r="R38" s="172"/>
      <c r="S38" s="172"/>
      <c r="T38" s="172"/>
      <c r="U38" s="172"/>
      <c r="V38" s="114"/>
      <c r="W38" s="114"/>
      <c r="X38" s="115"/>
      <c r="Y38" s="115"/>
      <c r="Z38" s="115"/>
      <c r="AA38" s="115"/>
      <c r="AB38" s="115"/>
      <c r="AC38" s="115"/>
      <c r="AD38" s="115"/>
      <c r="AE38" s="122"/>
      <c r="AF38" s="122"/>
      <c r="AG38" s="122"/>
      <c r="AH38" s="122"/>
      <c r="AI38" s="122"/>
      <c r="AJ38" s="122"/>
      <c r="AK38" s="122"/>
      <c r="AL38" s="122"/>
      <c r="AM38" s="122"/>
    </row>
    <row r="39" spans="1:39" s="211" customFormat="1" ht="13.6" x14ac:dyDescent="0.25">
      <c r="A39" s="407" t="str">
        <f>'topprodukte-benzin-diesel'!A32</f>
        <v>Dacia</v>
      </c>
      <c r="B39" s="407" t="str">
        <f>'topprodukte-benzin-diesel'!B32</f>
        <v>Duster</v>
      </c>
      <c r="C39" s="407" t="str">
        <f t="shared" si="0"/>
        <v>Dacia Duster - Benzin</v>
      </c>
      <c r="D39" s="407">
        <f>'topprodukte-benzin-diesel'!O32</f>
        <v>70</v>
      </c>
      <c r="E39" s="407" t="str">
        <f>'topprodukte-benzin-diesel'!J32</f>
        <v>Benzin</v>
      </c>
      <c r="F39" s="409">
        <f t="shared" si="7"/>
        <v>41.845999999999997</v>
      </c>
      <c r="G39" s="407">
        <f>'topprodukte-benzin-diesel'!I32</f>
        <v>4.9000000000000004</v>
      </c>
      <c r="H39" s="407">
        <f>'topprodukte-benzin-diesel'!K32</f>
        <v>128</v>
      </c>
      <c r="I39" s="231">
        <f>'topprodukte-benzin-diesel'!F32</f>
        <v>15490</v>
      </c>
      <c r="J39" s="408">
        <f t="shared" si="8"/>
        <v>232.35</v>
      </c>
      <c r="K39" s="408">
        <f>J39*Eingabe!$C$48</f>
        <v>69.704999999999998</v>
      </c>
      <c r="L39" s="408" t="s">
        <v>3124</v>
      </c>
      <c r="M39" s="472"/>
      <c r="N39" s="472"/>
      <c r="O39" s="172"/>
      <c r="P39" s="172"/>
      <c r="Q39" s="172"/>
      <c r="R39" s="172"/>
      <c r="S39" s="172"/>
      <c r="T39" s="172"/>
      <c r="U39" s="172"/>
      <c r="V39" s="172"/>
      <c r="W39" s="114"/>
      <c r="X39" s="114"/>
      <c r="Y39" s="114"/>
      <c r="Z39" s="115"/>
      <c r="AA39" s="115"/>
      <c r="AB39" s="115"/>
      <c r="AC39" s="115"/>
      <c r="AD39" s="115"/>
      <c r="AE39" s="115"/>
      <c r="AF39" s="115"/>
      <c r="AG39" s="122"/>
      <c r="AH39" s="122"/>
      <c r="AI39" s="122"/>
      <c r="AJ39" s="122"/>
      <c r="AK39" s="122"/>
      <c r="AL39" s="122"/>
      <c r="AM39" s="122"/>
    </row>
    <row r="40" spans="1:39" s="211" customFormat="1" ht="13.6" x14ac:dyDescent="0.25">
      <c r="A40" s="407" t="str">
        <f>'topprodukte-benzin-diesel'!A33</f>
        <v>Dacia</v>
      </c>
      <c r="B40" s="407" t="str">
        <f>'topprodukte-benzin-diesel'!B33</f>
        <v>Dokker</v>
      </c>
      <c r="C40" s="407" t="str">
        <f t="shared" si="0"/>
        <v>Dacia Dokker - Benzin</v>
      </c>
      <c r="D40" s="407">
        <f>'topprodukte-benzin-diesel'!O33</f>
        <v>70</v>
      </c>
      <c r="E40" s="407" t="str">
        <f>'topprodukte-benzin-diesel'!J33</f>
        <v>Benzin</v>
      </c>
      <c r="F40" s="409">
        <f t="shared" si="7"/>
        <v>42.699999999999996</v>
      </c>
      <c r="G40" s="407">
        <f>'topprodukte-benzin-diesel'!I33</f>
        <v>5</v>
      </c>
      <c r="H40" s="407">
        <f>'topprodukte-benzin-diesel'!K33</f>
        <v>132</v>
      </c>
      <c r="I40" s="231">
        <f>'topprodukte-benzin-diesel'!F33</f>
        <v>14250</v>
      </c>
      <c r="J40" s="408">
        <f t="shared" si="8"/>
        <v>213.75</v>
      </c>
      <c r="K40" s="408">
        <f>J40*Eingabe!$C$48</f>
        <v>64.125</v>
      </c>
      <c r="L40" s="408" t="s">
        <v>3124</v>
      </c>
      <c r="M40" s="472"/>
      <c r="N40" s="472"/>
      <c r="O40" s="172"/>
      <c r="P40" s="172"/>
      <c r="Q40" s="172"/>
      <c r="R40" s="172"/>
      <c r="S40" s="172"/>
      <c r="T40" s="172"/>
      <c r="U40" s="172"/>
      <c r="V40" s="172"/>
      <c r="W40" s="114"/>
      <c r="X40" s="114"/>
      <c r="Y40" s="114"/>
      <c r="Z40" s="115"/>
      <c r="AA40" s="115"/>
      <c r="AB40" s="115"/>
      <c r="AC40" s="115"/>
      <c r="AD40" s="115"/>
      <c r="AE40" s="115"/>
      <c r="AF40" s="115"/>
      <c r="AG40" s="122"/>
      <c r="AH40" s="122"/>
      <c r="AI40" s="122"/>
      <c r="AJ40" s="122"/>
      <c r="AK40" s="122"/>
      <c r="AL40" s="122"/>
      <c r="AM40" s="122"/>
    </row>
    <row r="41" spans="1:39" s="211" customFormat="1" ht="13.6" x14ac:dyDescent="0.25">
      <c r="A41" s="407" t="str">
        <f>'topprodukte-benzin-diesel'!A34</f>
        <v>Dacia</v>
      </c>
      <c r="B41" s="407" t="str">
        <f>'topprodukte-benzin-diesel'!B34</f>
        <v>Sandero</v>
      </c>
      <c r="C41" s="407" t="str">
        <f t="shared" si="0"/>
        <v>Dacia Sandero - Diesel</v>
      </c>
      <c r="D41" s="407">
        <f>'topprodukte-benzin-diesel'!O34</f>
        <v>55</v>
      </c>
      <c r="E41" s="407" t="str">
        <f>'topprodukte-benzin-diesel'!J34</f>
        <v>Diesel</v>
      </c>
      <c r="F41" s="409">
        <f t="shared" si="7"/>
        <v>44.468600000000009</v>
      </c>
      <c r="G41" s="407">
        <f>'topprodukte-benzin-diesel'!I34</f>
        <v>4.4000000000000004</v>
      </c>
      <c r="H41" s="407">
        <f>'topprodukte-benzin-diesel'!K34</f>
        <v>116</v>
      </c>
      <c r="I41" s="231">
        <f>'topprodukte-benzin-diesel'!F34</f>
        <v>11340</v>
      </c>
      <c r="J41" s="408">
        <f t="shared" si="8"/>
        <v>170.1</v>
      </c>
      <c r="K41" s="408">
        <f>J41*Eingabe!$C$48</f>
        <v>51.029999999999994</v>
      </c>
      <c r="L41" s="408" t="s">
        <v>3124</v>
      </c>
      <c r="M41" s="472"/>
      <c r="N41" s="472"/>
      <c r="O41" s="172"/>
      <c r="P41" s="172"/>
      <c r="Q41" s="172"/>
      <c r="R41" s="172"/>
      <c r="S41" s="172"/>
      <c r="T41" s="172"/>
      <c r="U41" s="172"/>
      <c r="V41" s="172"/>
      <c r="W41" s="172"/>
      <c r="X41" s="172"/>
      <c r="Y41" s="172"/>
      <c r="Z41" s="122"/>
      <c r="AA41" s="122"/>
      <c r="AB41" s="122"/>
      <c r="AC41" s="122"/>
      <c r="AD41" s="122"/>
      <c r="AE41" s="122"/>
      <c r="AF41" s="122"/>
      <c r="AG41" s="122"/>
      <c r="AH41" s="122"/>
      <c r="AI41" s="122"/>
      <c r="AJ41" s="122"/>
      <c r="AK41" s="122"/>
      <c r="AL41" s="122"/>
      <c r="AM41" s="122"/>
    </row>
    <row r="42" spans="1:39" s="211" customFormat="1" ht="13.6" x14ac:dyDescent="0.25">
      <c r="A42" s="407" t="str">
        <f>'topprodukte-benzin-diesel'!A35</f>
        <v>DS Automobiles</v>
      </c>
      <c r="B42" s="407" t="str">
        <f>'topprodukte-benzin-diesel'!B35</f>
        <v>DS 7</v>
      </c>
      <c r="C42" s="407" t="str">
        <f t="shared" si="0"/>
        <v>DS Automobiles DS 7 - Benzin</v>
      </c>
      <c r="D42" s="407">
        <f>'topprodukte-benzin-diesel'!O35</f>
        <v>96</v>
      </c>
      <c r="E42" s="407" t="str">
        <f>'topprodukte-benzin-diesel'!J35</f>
        <v>Benzin</v>
      </c>
      <c r="F42" s="409">
        <f t="shared" si="7"/>
        <v>44.407999999999994</v>
      </c>
      <c r="G42" s="407">
        <f>'topprodukte-benzin-diesel'!I35</f>
        <v>5.2</v>
      </c>
      <c r="H42" s="407">
        <f>'topprodukte-benzin-diesel'!K35</f>
        <v>136</v>
      </c>
      <c r="I42" s="231">
        <f>'topprodukte-benzin-diesel'!F35</f>
        <v>41290</v>
      </c>
      <c r="J42" s="408">
        <f t="shared" si="8"/>
        <v>619.35</v>
      </c>
      <c r="K42" s="408">
        <f>J42*Eingabe!$C$48</f>
        <v>185.80500000000001</v>
      </c>
      <c r="L42" s="408" t="s">
        <v>3124</v>
      </c>
      <c r="M42" s="472"/>
      <c r="N42" s="472"/>
      <c r="O42" s="172"/>
      <c r="P42" s="172"/>
      <c r="Q42" s="172"/>
      <c r="R42" s="172"/>
      <c r="S42" s="172"/>
      <c r="T42" s="172"/>
      <c r="U42" s="172"/>
      <c r="V42" s="172"/>
      <c r="W42" s="172"/>
      <c r="X42" s="172"/>
      <c r="Y42" s="172"/>
      <c r="Z42" s="122"/>
      <c r="AA42" s="122"/>
      <c r="AB42" s="122"/>
      <c r="AC42" s="122"/>
      <c r="AD42" s="122"/>
      <c r="AE42" s="122"/>
      <c r="AF42" s="122"/>
      <c r="AG42" s="122"/>
      <c r="AH42" s="122"/>
      <c r="AI42" s="122"/>
      <c r="AJ42" s="122"/>
      <c r="AK42" s="122"/>
      <c r="AL42" s="122"/>
      <c r="AM42" s="122"/>
    </row>
    <row r="43" spans="1:39" s="211" customFormat="1" ht="12.75" customHeight="1" x14ac:dyDescent="0.25">
      <c r="A43" s="407" t="str">
        <f>'topprodukte-benzin-diesel'!A36</f>
        <v>Fiat</v>
      </c>
      <c r="B43" s="407">
        <f>'topprodukte-benzin-diesel'!B36</f>
        <v>500</v>
      </c>
      <c r="C43" s="407" t="str">
        <f t="shared" si="0"/>
        <v>Fiat 500 - Benzin</v>
      </c>
      <c r="D43" s="407">
        <f>'topprodukte-benzin-diesel'!O36</f>
        <v>51</v>
      </c>
      <c r="E43" s="407" t="str">
        <f>'topprodukte-benzin-diesel'!J36</f>
        <v>Benzin</v>
      </c>
      <c r="F43" s="409">
        <f t="shared" si="7"/>
        <v>46.97</v>
      </c>
      <c r="G43" s="407">
        <f>'topprodukte-benzin-diesel'!I36</f>
        <v>5.5</v>
      </c>
      <c r="H43" s="407">
        <f>'topprodukte-benzin-diesel'!K36</f>
        <v>135</v>
      </c>
      <c r="I43" s="231">
        <f>'topprodukte-benzin-diesel'!F36</f>
        <v>18170</v>
      </c>
      <c r="J43" s="408">
        <f t="shared" si="8"/>
        <v>272.55</v>
      </c>
      <c r="K43" s="408">
        <f>J43*Eingabe!$C$48</f>
        <v>81.765000000000001</v>
      </c>
      <c r="L43" s="408" t="s">
        <v>3124</v>
      </c>
      <c r="M43" s="172"/>
      <c r="N43" s="172"/>
      <c r="O43" s="172"/>
      <c r="P43" s="172"/>
      <c r="Q43" s="172"/>
      <c r="R43" s="172"/>
      <c r="S43" s="172"/>
      <c r="T43" s="172"/>
      <c r="U43" s="172"/>
      <c r="V43" s="172"/>
      <c r="W43" s="172"/>
      <c r="X43" s="172"/>
      <c r="Y43" s="172"/>
      <c r="Z43" s="122"/>
      <c r="AA43" s="122"/>
      <c r="AB43" s="122"/>
      <c r="AC43" s="122"/>
      <c r="AD43" s="122"/>
      <c r="AE43" s="122"/>
      <c r="AF43" s="122"/>
      <c r="AG43" s="122"/>
      <c r="AH43" s="122"/>
      <c r="AI43" s="122"/>
      <c r="AJ43" s="122"/>
      <c r="AK43" s="122"/>
      <c r="AL43" s="122"/>
      <c r="AM43" s="122"/>
    </row>
    <row r="44" spans="1:39" s="211" customFormat="1" ht="13.6" x14ac:dyDescent="0.25">
      <c r="A44" s="407" t="str">
        <f>'topprodukte-benzin-diesel'!A37</f>
        <v>Fiat</v>
      </c>
      <c r="B44" s="407" t="str">
        <f>'topprodukte-benzin-diesel'!B37</f>
        <v>Panda</v>
      </c>
      <c r="C44" s="407" t="str">
        <f t="shared" si="0"/>
        <v>Fiat Panda - Benzin</v>
      </c>
      <c r="D44" s="407">
        <f>'topprodukte-benzin-diesel'!O37</f>
        <v>51</v>
      </c>
      <c r="E44" s="407" t="str">
        <f>'topprodukte-benzin-diesel'!J37</f>
        <v>Benzin</v>
      </c>
      <c r="F44" s="409">
        <f t="shared" si="7"/>
        <v>48.677999999999997</v>
      </c>
      <c r="G44" s="407">
        <f>'topprodukte-benzin-diesel'!I37</f>
        <v>5.7</v>
      </c>
      <c r="H44" s="407">
        <f>'topprodukte-benzin-diesel'!K37</f>
        <v>133</v>
      </c>
      <c r="I44" s="231">
        <f>'topprodukte-benzin-diesel'!F37</f>
        <v>12100</v>
      </c>
      <c r="J44" s="408">
        <f t="shared" si="8"/>
        <v>181.5</v>
      </c>
      <c r="K44" s="408">
        <f>J44*Eingabe!$C$48</f>
        <v>54.449999999999996</v>
      </c>
      <c r="L44" s="408" t="s">
        <v>3124</v>
      </c>
      <c r="M44" s="475"/>
      <c r="N44" s="475"/>
      <c r="O44" s="172"/>
      <c r="P44" s="172"/>
      <c r="Q44" s="473"/>
      <c r="R44" s="172"/>
      <c r="S44" s="172"/>
      <c r="T44" s="172"/>
      <c r="U44" s="172"/>
      <c r="V44" s="172"/>
      <c r="W44" s="114"/>
      <c r="X44" s="114"/>
      <c r="Y44" s="114"/>
      <c r="Z44" s="115"/>
      <c r="AA44" s="115"/>
      <c r="AB44" s="115"/>
      <c r="AC44" s="115"/>
      <c r="AD44" s="115"/>
      <c r="AE44" s="115"/>
      <c r="AF44" s="115"/>
      <c r="AG44" s="122"/>
      <c r="AH44" s="122"/>
      <c r="AI44" s="122"/>
      <c r="AJ44" s="122"/>
      <c r="AK44" s="122"/>
      <c r="AL44" s="122"/>
      <c r="AM44" s="122"/>
    </row>
    <row r="45" spans="1:39" s="211" customFormat="1" ht="12.25" customHeight="1" x14ac:dyDescent="0.25">
      <c r="A45" s="407" t="str">
        <f>'topprodukte-benzin-diesel'!A38</f>
        <v>Fiat</v>
      </c>
      <c r="B45" s="407" t="str">
        <f>'topprodukte-benzin-diesel'!B38</f>
        <v>Tipo Kombi</v>
      </c>
      <c r="C45" s="407" t="str">
        <f t="shared" si="0"/>
        <v>Fiat Tipo Kombi - Benzin</v>
      </c>
      <c r="D45" s="407">
        <f>'topprodukte-benzin-diesel'!O38</f>
        <v>70</v>
      </c>
      <c r="E45" s="407" t="str">
        <f>'topprodukte-benzin-diesel'!J38</f>
        <v>Benzin</v>
      </c>
      <c r="F45" s="409">
        <f t="shared" si="7"/>
        <v>39.283999999999992</v>
      </c>
      <c r="G45" s="407">
        <f>'topprodukte-benzin-diesel'!I38</f>
        <v>4.5999999999999996</v>
      </c>
      <c r="H45" s="407">
        <f>'topprodukte-benzin-diesel'!K38</f>
        <v>120</v>
      </c>
      <c r="I45" s="231">
        <f>'topprodukte-benzin-diesel'!F38</f>
        <v>21170</v>
      </c>
      <c r="J45" s="408">
        <f t="shared" si="8"/>
        <v>317.55</v>
      </c>
      <c r="K45" s="408">
        <f>J45*Eingabe!$C$48</f>
        <v>95.265000000000001</v>
      </c>
      <c r="L45" s="408" t="s">
        <v>3124</v>
      </c>
      <c r="M45" s="172"/>
      <c r="N45" s="172"/>
      <c r="O45" s="172"/>
      <c r="P45" s="172"/>
      <c r="Q45" s="172"/>
      <c r="R45" s="172"/>
      <c r="S45" s="172"/>
      <c r="T45" s="172"/>
      <c r="U45" s="172"/>
      <c r="V45" s="172"/>
      <c r="W45" s="172"/>
      <c r="X45" s="172"/>
      <c r="Y45" s="172"/>
      <c r="Z45" s="122"/>
      <c r="AA45" s="481"/>
      <c r="AB45" s="122"/>
      <c r="AC45" s="122"/>
      <c r="AD45" s="122"/>
      <c r="AE45" s="122"/>
      <c r="AF45" s="122"/>
      <c r="AG45" s="122"/>
      <c r="AH45" s="122"/>
      <c r="AI45" s="122"/>
      <c r="AJ45" s="122"/>
      <c r="AK45" s="122"/>
      <c r="AL45" s="122"/>
      <c r="AM45" s="122"/>
    </row>
    <row r="46" spans="1:39" s="211" customFormat="1" ht="12.25" customHeight="1" x14ac:dyDescent="0.25">
      <c r="A46" s="407" t="str">
        <f>'topprodukte-benzin-diesel'!A39</f>
        <v>Fiat</v>
      </c>
      <c r="B46" s="407" t="str">
        <f>'topprodukte-benzin-diesel'!B39</f>
        <v>500X Urban</v>
      </c>
      <c r="C46" s="407" t="str">
        <f t="shared" si="0"/>
        <v>Fiat 500X Urban - Benzin</v>
      </c>
      <c r="D46" s="407">
        <f>'topprodukte-benzin-diesel'!O39</f>
        <v>70</v>
      </c>
      <c r="E46" s="407" t="str">
        <f>'topprodukte-benzin-diesel'!J39</f>
        <v>Benzin</v>
      </c>
      <c r="F46" s="409">
        <v>35.4</v>
      </c>
      <c r="G46" s="407">
        <f>'topprodukte-benzin-diesel'!I39</f>
        <v>4.8</v>
      </c>
      <c r="H46" s="407">
        <f>'topprodukte-benzin-diesel'!K39</f>
        <v>126</v>
      </c>
      <c r="I46" s="231">
        <f>'topprodukte-benzin-diesel'!F39</f>
        <v>22100</v>
      </c>
      <c r="J46" s="408">
        <f t="shared" si="8"/>
        <v>331.5</v>
      </c>
      <c r="K46" s="408">
        <f>J46*Eingabe!$C$48</f>
        <v>99.45</v>
      </c>
      <c r="L46" s="408" t="s">
        <v>3124</v>
      </c>
      <c r="M46" s="172"/>
      <c r="N46" s="172"/>
      <c r="O46" s="172"/>
      <c r="P46" s="172"/>
      <c r="Q46" s="172"/>
      <c r="R46" s="172"/>
      <c r="S46" s="172"/>
      <c r="T46" s="172"/>
      <c r="U46" s="172"/>
      <c r="V46" s="172"/>
      <c r="W46" s="172"/>
      <c r="X46" s="172"/>
      <c r="Y46" s="172"/>
      <c r="Z46" s="122"/>
      <c r="AA46" s="481"/>
      <c r="AB46" s="122"/>
      <c r="AC46" s="122"/>
      <c r="AD46" s="122"/>
      <c r="AE46" s="122"/>
      <c r="AF46" s="122"/>
      <c r="AG46" s="122"/>
      <c r="AH46" s="122"/>
      <c r="AI46" s="122"/>
      <c r="AJ46" s="122"/>
      <c r="AK46" s="122"/>
      <c r="AL46" s="122"/>
      <c r="AM46" s="122"/>
    </row>
    <row r="47" spans="1:39" s="211" customFormat="1" ht="13.6" x14ac:dyDescent="0.25">
      <c r="A47" s="407" t="str">
        <f>'topprodukte-benzin-diesel'!A40</f>
        <v>Fiat</v>
      </c>
      <c r="B47" s="407" t="str">
        <f>'topprodukte-benzin-diesel'!B40</f>
        <v>Tipo Kombi</v>
      </c>
      <c r="C47" s="407" t="str">
        <f t="shared" si="0"/>
        <v>Fiat Tipo Kombi - Diesel</v>
      </c>
      <c r="D47" s="407">
        <f>'topprodukte-benzin-diesel'!O40</f>
        <v>70</v>
      </c>
      <c r="E47" s="407" t="str">
        <f>'topprodukte-benzin-diesel'!J40</f>
        <v>Diesel</v>
      </c>
      <c r="F47" s="409">
        <f t="shared" ref="F47:F63" si="9">IF(E47="Benzin",$O$3*G47,$O$4*G47)</f>
        <v>46.489899999999999</v>
      </c>
      <c r="G47" s="407">
        <f>'topprodukte-benzin-diesel'!I40</f>
        <v>4.5999999999999996</v>
      </c>
      <c r="H47" s="407">
        <f>'topprodukte-benzin-diesel'!K40</f>
        <v>120</v>
      </c>
      <c r="I47" s="231">
        <f>'topprodukte-benzin-diesel'!F40</f>
        <v>21170</v>
      </c>
      <c r="J47" s="408">
        <f t="shared" si="8"/>
        <v>317.55</v>
      </c>
      <c r="K47" s="408">
        <f>J47*Eingabe!$C$48</f>
        <v>95.265000000000001</v>
      </c>
      <c r="L47" s="408" t="s">
        <v>3124</v>
      </c>
      <c r="M47" s="172"/>
      <c r="N47" s="172"/>
      <c r="O47" s="172"/>
      <c r="P47" s="172"/>
      <c r="Q47" s="172"/>
      <c r="R47" s="172"/>
      <c r="S47" s="172"/>
      <c r="T47" s="172"/>
      <c r="U47" s="172"/>
      <c r="V47" s="172"/>
      <c r="W47" s="172"/>
      <c r="X47" s="172"/>
      <c r="Y47" s="172"/>
      <c r="Z47" s="122"/>
      <c r="AA47" s="122"/>
      <c r="AB47" s="122"/>
      <c r="AC47" s="122"/>
      <c r="AD47" s="122"/>
      <c r="AE47" s="122"/>
      <c r="AF47" s="122"/>
      <c r="AG47" s="122"/>
      <c r="AH47" s="122"/>
      <c r="AI47" s="122"/>
      <c r="AJ47" s="122"/>
      <c r="AK47" s="122"/>
      <c r="AL47" s="122"/>
      <c r="AM47" s="122"/>
    </row>
    <row r="48" spans="1:39" s="211" customFormat="1" ht="12.75" customHeight="1" x14ac:dyDescent="0.3">
      <c r="A48" s="407" t="str">
        <f>'topprodukte-benzin-diesel'!A41</f>
        <v>Fiat</v>
      </c>
      <c r="B48" s="407" t="str">
        <f>'topprodukte-benzin-diesel'!B41</f>
        <v>500X Urban</v>
      </c>
      <c r="C48" s="407" t="str">
        <f t="shared" si="0"/>
        <v>Fiat 500X Urban - Diesel</v>
      </c>
      <c r="D48" s="407">
        <f>'topprodukte-benzin-diesel'!O41</f>
        <v>70</v>
      </c>
      <c r="E48" s="407" t="str">
        <f>'topprodukte-benzin-diesel'!J41</f>
        <v>Diesel</v>
      </c>
      <c r="F48" s="409">
        <f t="shared" si="9"/>
        <v>48.511200000000002</v>
      </c>
      <c r="G48" s="407">
        <f>'topprodukte-benzin-diesel'!I41</f>
        <v>4.8</v>
      </c>
      <c r="H48" s="407">
        <f>'topprodukte-benzin-diesel'!K41</f>
        <v>126</v>
      </c>
      <c r="I48" s="231">
        <f>'topprodukte-benzin-diesel'!F41</f>
        <v>22100</v>
      </c>
      <c r="J48" s="408">
        <f t="shared" si="8"/>
        <v>331.5</v>
      </c>
      <c r="K48" s="408">
        <f>J48*Eingabe!$C$48</f>
        <v>99.45</v>
      </c>
      <c r="L48" s="408" t="s">
        <v>3124</v>
      </c>
      <c r="M48" s="478"/>
      <c r="N48" s="482"/>
      <c r="O48" s="172"/>
      <c r="P48" s="172"/>
      <c r="Q48" s="172"/>
      <c r="R48" s="172"/>
      <c r="S48" s="172"/>
      <c r="T48" s="172"/>
      <c r="U48" s="172"/>
      <c r="V48" s="172"/>
      <c r="W48" s="172"/>
      <c r="X48" s="172"/>
      <c r="Y48" s="172"/>
      <c r="Z48" s="122"/>
      <c r="AA48" s="122"/>
      <c r="AB48" s="122"/>
      <c r="AC48" s="122"/>
      <c r="AD48" s="122"/>
      <c r="AE48" s="122"/>
      <c r="AF48" s="122"/>
      <c r="AG48" s="122"/>
      <c r="AH48" s="122"/>
      <c r="AI48" s="122"/>
      <c r="AJ48" s="122"/>
      <c r="AK48" s="122"/>
      <c r="AL48" s="122"/>
      <c r="AM48" s="122"/>
    </row>
    <row r="49" spans="1:39" s="211" customFormat="1" ht="13.6" x14ac:dyDescent="0.25">
      <c r="A49" s="407" t="str">
        <f>'topprodukte-benzin-diesel'!A42</f>
        <v>Ford</v>
      </c>
      <c r="B49" s="407" t="str">
        <f>'topprodukte-benzin-diesel'!B42</f>
        <v>Fiesta Coupe</v>
      </c>
      <c r="C49" s="407" t="str">
        <f t="shared" si="0"/>
        <v>Ford Fiesta Coupe - Benzin</v>
      </c>
      <c r="D49" s="407">
        <f>'topprodukte-benzin-diesel'!O42</f>
        <v>70</v>
      </c>
      <c r="E49" s="407" t="str">
        <f>'topprodukte-benzin-diesel'!J42</f>
        <v>Benzin</v>
      </c>
      <c r="F49" s="409">
        <f t="shared" si="9"/>
        <v>43.553999999999995</v>
      </c>
      <c r="G49" s="407">
        <f>'topprodukte-benzin-diesel'!I42</f>
        <v>5.0999999999999996</v>
      </c>
      <c r="H49" s="407">
        <f>'topprodukte-benzin-diesel'!K42</f>
        <v>115</v>
      </c>
      <c r="I49" s="231">
        <f>'topprodukte-benzin-diesel'!F42</f>
        <v>15300</v>
      </c>
      <c r="J49" s="408">
        <f t="shared" si="8"/>
        <v>229.5</v>
      </c>
      <c r="K49" s="408">
        <f>J49*Eingabe!$C$48</f>
        <v>68.849999999999994</v>
      </c>
      <c r="L49" s="408" t="s">
        <v>3124</v>
      </c>
      <c r="M49" s="472"/>
      <c r="N49" s="472"/>
      <c r="O49" s="172"/>
      <c r="P49" s="172"/>
      <c r="Q49" s="172"/>
      <c r="R49" s="172"/>
      <c r="S49" s="172"/>
      <c r="T49" s="172"/>
      <c r="U49" s="172"/>
      <c r="V49" s="172"/>
      <c r="W49" s="172"/>
      <c r="X49" s="172"/>
      <c r="Y49" s="172"/>
      <c r="Z49" s="122"/>
      <c r="AA49" s="122"/>
      <c r="AB49" s="122"/>
      <c r="AC49" s="122"/>
      <c r="AD49" s="122"/>
      <c r="AE49" s="122"/>
      <c r="AF49" s="122"/>
      <c r="AG49" s="122"/>
      <c r="AH49" s="122"/>
      <c r="AI49" s="122"/>
      <c r="AJ49" s="122"/>
      <c r="AK49" s="122"/>
      <c r="AL49" s="122"/>
      <c r="AM49" s="122"/>
    </row>
    <row r="50" spans="1:39" s="211" customFormat="1" ht="13.6" x14ac:dyDescent="0.25">
      <c r="A50" s="407" t="str">
        <f>'topprodukte-benzin-diesel'!A43</f>
        <v>Ford</v>
      </c>
      <c r="B50" s="407" t="str">
        <f>'topprodukte-benzin-diesel'!B43</f>
        <v>Focus</v>
      </c>
      <c r="C50" s="407" t="str">
        <f t="shared" si="0"/>
        <v>Ford Focus - Benzin</v>
      </c>
      <c r="D50" s="407">
        <f>'topprodukte-benzin-diesel'!O43</f>
        <v>74</v>
      </c>
      <c r="E50" s="407" t="str">
        <f>'topprodukte-benzin-diesel'!J43</f>
        <v>Benzin</v>
      </c>
      <c r="F50" s="409">
        <f t="shared" si="9"/>
        <v>45.261999999999993</v>
      </c>
      <c r="G50" s="407">
        <f>'topprodukte-benzin-diesel'!I43</f>
        <v>5.3</v>
      </c>
      <c r="H50" s="407">
        <f>'topprodukte-benzin-diesel'!K43</f>
        <v>119</v>
      </c>
      <c r="I50" s="231">
        <f>'topprodukte-benzin-diesel'!F43</f>
        <v>22100</v>
      </c>
      <c r="J50" s="408">
        <f t="shared" si="8"/>
        <v>331.5</v>
      </c>
      <c r="K50" s="408">
        <f>J50*Eingabe!$C$48</f>
        <v>99.45</v>
      </c>
      <c r="L50" s="408" t="s">
        <v>3124</v>
      </c>
      <c r="M50" s="172"/>
      <c r="N50" s="172"/>
      <c r="O50" s="172"/>
      <c r="P50" s="172"/>
      <c r="Q50" s="172"/>
      <c r="R50" s="172"/>
      <c r="S50" s="172"/>
      <c r="T50" s="172"/>
      <c r="U50" s="172"/>
      <c r="V50" s="172"/>
      <c r="W50" s="172"/>
      <c r="X50" s="172"/>
      <c r="Y50" s="172"/>
      <c r="Z50" s="122"/>
      <c r="AA50" s="122"/>
      <c r="AB50" s="122"/>
      <c r="AC50" s="122"/>
      <c r="AD50" s="122"/>
      <c r="AE50" s="122"/>
      <c r="AF50" s="122"/>
      <c r="AG50" s="122"/>
      <c r="AH50" s="122"/>
      <c r="AI50" s="122"/>
      <c r="AJ50" s="122"/>
      <c r="AK50" s="122"/>
      <c r="AL50" s="122"/>
      <c r="AM50" s="122"/>
    </row>
    <row r="51" spans="1:39" s="211" customFormat="1" ht="13.6" x14ac:dyDescent="0.25">
      <c r="A51" s="407" t="str">
        <f>'topprodukte-benzin-diesel'!A44</f>
        <v>Ford</v>
      </c>
      <c r="B51" s="407" t="str">
        <f>'topprodukte-benzin-diesel'!B44</f>
        <v>Focus Turnier</v>
      </c>
      <c r="C51" s="407" t="str">
        <f t="shared" si="0"/>
        <v>Ford Focus Turnier - Benzin</v>
      </c>
      <c r="D51" s="407">
        <f>'topprodukte-benzin-diesel'!O44</f>
        <v>74</v>
      </c>
      <c r="E51" s="407" t="str">
        <f>'topprodukte-benzin-diesel'!J44</f>
        <v>Benzin</v>
      </c>
      <c r="F51" s="409">
        <f t="shared" si="9"/>
        <v>45.261999999999993</v>
      </c>
      <c r="G51" s="407">
        <f>'topprodukte-benzin-diesel'!I44</f>
        <v>5.3</v>
      </c>
      <c r="H51" s="407">
        <f>'topprodukte-benzin-diesel'!K44</f>
        <v>119</v>
      </c>
      <c r="I51" s="231">
        <f>'topprodukte-benzin-diesel'!F44</f>
        <v>23600</v>
      </c>
      <c r="J51" s="408">
        <f t="shared" si="8"/>
        <v>354</v>
      </c>
      <c r="K51" s="408">
        <f>J51*Eingabe!$C$48</f>
        <v>106.2</v>
      </c>
      <c r="L51" s="408" t="s">
        <v>3124</v>
      </c>
      <c r="M51" s="472"/>
      <c r="N51" s="475"/>
      <c r="O51" s="172"/>
      <c r="P51" s="172"/>
      <c r="Q51" s="480"/>
      <c r="R51" s="172"/>
      <c r="S51" s="172"/>
      <c r="T51" s="172"/>
      <c r="U51" s="172"/>
      <c r="V51" s="172"/>
      <c r="W51" s="114"/>
      <c r="X51" s="114"/>
      <c r="Y51" s="114"/>
      <c r="Z51" s="115"/>
      <c r="AA51" s="115"/>
      <c r="AB51" s="115"/>
      <c r="AC51" s="115"/>
      <c r="AD51" s="115"/>
      <c r="AE51" s="115"/>
      <c r="AF51" s="115"/>
      <c r="AG51" s="122"/>
      <c r="AH51" s="122"/>
      <c r="AI51" s="122"/>
      <c r="AJ51" s="122"/>
      <c r="AK51" s="122"/>
      <c r="AL51" s="122"/>
      <c r="AM51" s="122"/>
    </row>
    <row r="52" spans="1:39" s="211" customFormat="1" ht="13.6" x14ac:dyDescent="0.25">
      <c r="A52" s="407" t="str">
        <f>'topprodukte-benzin-diesel'!A45</f>
        <v>Ford</v>
      </c>
      <c r="B52" s="407" t="str">
        <f>'topprodukte-benzin-diesel'!B45</f>
        <v>EcoSport</v>
      </c>
      <c r="C52" s="407" t="str">
        <f t="shared" si="0"/>
        <v>Ford EcoSport - Benzin</v>
      </c>
      <c r="D52" s="407">
        <f>'topprodukte-benzin-diesel'!O45</f>
        <v>74</v>
      </c>
      <c r="E52" s="407" t="str">
        <f>'topprodukte-benzin-diesel'!J45</f>
        <v>Benzin</v>
      </c>
      <c r="F52" s="409">
        <f t="shared" si="9"/>
        <v>50.385999999999996</v>
      </c>
      <c r="G52" s="407">
        <f>'topprodukte-benzin-diesel'!I45</f>
        <v>5.9</v>
      </c>
      <c r="H52" s="407">
        <f>'topprodukte-benzin-diesel'!K45</f>
        <v>134</v>
      </c>
      <c r="I52" s="231">
        <f>'topprodukte-benzin-diesel'!F45</f>
        <v>20300</v>
      </c>
      <c r="J52" s="408">
        <f t="shared" si="8"/>
        <v>304.5</v>
      </c>
      <c r="K52" s="408">
        <f>J52*Eingabe!$C$48</f>
        <v>91.35</v>
      </c>
      <c r="L52" s="408" t="s">
        <v>3124</v>
      </c>
      <c r="M52" s="473"/>
      <c r="N52" s="472"/>
      <c r="O52" s="172"/>
      <c r="P52" s="172"/>
      <c r="Q52" s="172"/>
      <c r="R52" s="172"/>
      <c r="S52" s="172"/>
      <c r="T52" s="172"/>
      <c r="U52" s="172"/>
      <c r="V52" s="172"/>
      <c r="W52" s="172"/>
      <c r="X52" s="172"/>
      <c r="Y52" s="172"/>
      <c r="Z52" s="122"/>
      <c r="AA52" s="122"/>
      <c r="AB52" s="122"/>
      <c r="AC52" s="122"/>
      <c r="AD52" s="122"/>
      <c r="AE52" s="122"/>
      <c r="AF52" s="122"/>
      <c r="AG52" s="122"/>
      <c r="AH52" s="122"/>
      <c r="AI52" s="122"/>
      <c r="AJ52" s="122"/>
      <c r="AK52" s="122"/>
      <c r="AL52" s="122"/>
      <c r="AM52" s="122"/>
    </row>
    <row r="53" spans="1:39" s="211" customFormat="1" ht="13.6" x14ac:dyDescent="0.25">
      <c r="A53" s="407" t="str">
        <f>'topprodukte-benzin-diesel'!A46</f>
        <v>Ford</v>
      </c>
      <c r="B53" s="407" t="str">
        <f>'topprodukte-benzin-diesel'!B46</f>
        <v>Fiesta</v>
      </c>
      <c r="C53" s="407" t="str">
        <f t="shared" si="0"/>
        <v>Ford Fiesta - Benzin</v>
      </c>
      <c r="D53" s="407">
        <f>'topprodukte-benzin-diesel'!O46</f>
        <v>63</v>
      </c>
      <c r="E53" s="407" t="str">
        <f>'topprodukte-benzin-diesel'!J46</f>
        <v>Benzin</v>
      </c>
      <c r="F53" s="409">
        <f t="shared" si="9"/>
        <v>35.867999999999995</v>
      </c>
      <c r="G53" s="407">
        <f>'topprodukte-benzin-diesel'!I46</f>
        <v>4.2</v>
      </c>
      <c r="H53" s="407">
        <f>'topprodukte-benzin-diesel'!K46</f>
        <v>111</v>
      </c>
      <c r="I53" s="231">
        <f>'topprodukte-benzin-diesel'!F46</f>
        <v>16650</v>
      </c>
      <c r="J53" s="408">
        <f t="shared" si="8"/>
        <v>249.75</v>
      </c>
      <c r="K53" s="408">
        <f>J53*Eingabe!$C$48</f>
        <v>74.924999999999997</v>
      </c>
      <c r="L53" s="408" t="s">
        <v>3124</v>
      </c>
      <c r="M53" s="172"/>
      <c r="N53" s="473"/>
      <c r="O53" s="172"/>
      <c r="P53" s="172"/>
      <c r="Q53" s="172"/>
      <c r="R53" s="172"/>
      <c r="S53" s="172"/>
      <c r="T53" s="172"/>
      <c r="U53" s="172"/>
      <c r="V53" s="172"/>
      <c r="W53" s="172"/>
      <c r="X53" s="172"/>
      <c r="Y53" s="172"/>
      <c r="Z53" s="122"/>
      <c r="AA53" s="122"/>
      <c r="AB53" s="122"/>
      <c r="AC53" s="122"/>
      <c r="AD53" s="122"/>
      <c r="AE53" s="122"/>
      <c r="AF53" s="122"/>
      <c r="AG53" s="122"/>
      <c r="AH53" s="122"/>
      <c r="AI53" s="122"/>
      <c r="AJ53" s="122"/>
      <c r="AK53" s="122"/>
      <c r="AL53" s="122"/>
      <c r="AM53" s="122"/>
    </row>
    <row r="54" spans="1:39" s="211" customFormat="1" ht="13.6" x14ac:dyDescent="0.25">
      <c r="A54" s="407" t="str">
        <f>'topprodukte-benzin-diesel'!A47</f>
        <v>Ford</v>
      </c>
      <c r="B54" s="407" t="str">
        <f>'topprodukte-benzin-diesel'!B47</f>
        <v>Focus</v>
      </c>
      <c r="C54" s="407" t="str">
        <f t="shared" si="0"/>
        <v>Ford Focus - Benzin</v>
      </c>
      <c r="D54" s="407">
        <f>'topprodukte-benzin-diesel'!O47</f>
        <v>70</v>
      </c>
      <c r="E54" s="407" t="str">
        <f>'topprodukte-benzin-diesel'!J47</f>
        <v>Benzin</v>
      </c>
      <c r="F54" s="409">
        <f t="shared" si="9"/>
        <v>38.429999999999993</v>
      </c>
      <c r="G54" s="407">
        <f>'topprodukte-benzin-diesel'!I47</f>
        <v>4.5</v>
      </c>
      <c r="H54" s="407">
        <f>'topprodukte-benzin-diesel'!K47</f>
        <v>117</v>
      </c>
      <c r="I54" s="231">
        <f>'topprodukte-benzin-diesel'!F47</f>
        <v>23650</v>
      </c>
      <c r="J54" s="408">
        <f t="shared" si="8"/>
        <v>354.75</v>
      </c>
      <c r="K54" s="408">
        <f>J54*Eingabe!$C$48</f>
        <v>106.425</v>
      </c>
      <c r="L54" s="408" t="s">
        <v>3124</v>
      </c>
      <c r="M54" s="172"/>
      <c r="N54" s="172"/>
      <c r="O54" s="172"/>
      <c r="P54" s="172"/>
      <c r="Q54" s="172"/>
      <c r="R54" s="172"/>
      <c r="S54" s="172"/>
      <c r="T54" s="172"/>
      <c r="U54" s="172"/>
      <c r="V54" s="172"/>
      <c r="W54" s="172"/>
      <c r="X54" s="172"/>
      <c r="Y54" s="172"/>
      <c r="Z54" s="122"/>
      <c r="AA54" s="122"/>
      <c r="AB54" s="122"/>
      <c r="AC54" s="122"/>
      <c r="AD54" s="122"/>
      <c r="AE54" s="122"/>
      <c r="AF54" s="122"/>
      <c r="AG54" s="122"/>
      <c r="AH54" s="122"/>
      <c r="AI54" s="122"/>
      <c r="AJ54" s="122"/>
      <c r="AK54" s="122"/>
      <c r="AL54" s="122"/>
      <c r="AM54" s="122"/>
    </row>
    <row r="55" spans="1:39" s="211" customFormat="1" ht="13.6" x14ac:dyDescent="0.25">
      <c r="A55" s="407" t="str">
        <f>'topprodukte-benzin-diesel'!A48</f>
        <v>Ford</v>
      </c>
      <c r="B55" s="407" t="str">
        <f>'topprodukte-benzin-diesel'!B48</f>
        <v>Puma</v>
      </c>
      <c r="C55" s="407" t="str">
        <f t="shared" si="0"/>
        <v>Ford Puma - Benzin</v>
      </c>
      <c r="D55" s="407">
        <f>'topprodukte-benzin-diesel'!O48</f>
        <v>88</v>
      </c>
      <c r="E55" s="407" t="str">
        <f>'topprodukte-benzin-diesel'!J48</f>
        <v>Benzin</v>
      </c>
      <c r="F55" s="409">
        <f t="shared" si="9"/>
        <v>38.429999999999993</v>
      </c>
      <c r="G55" s="407">
        <f>'topprodukte-benzin-diesel'!I48</f>
        <v>4.5</v>
      </c>
      <c r="H55" s="407">
        <f>'topprodukte-benzin-diesel'!K48</f>
        <v>118</v>
      </c>
      <c r="I55" s="231">
        <f>'topprodukte-benzin-diesel'!F48</f>
        <v>25890</v>
      </c>
      <c r="J55" s="408">
        <f t="shared" si="8"/>
        <v>388.34999999999997</v>
      </c>
      <c r="K55" s="408">
        <f>J55*Eingabe!$C$48</f>
        <v>116.50499999999998</v>
      </c>
      <c r="L55" s="408" t="s">
        <v>3124</v>
      </c>
      <c r="M55" s="172"/>
      <c r="N55" s="172"/>
      <c r="O55" s="172"/>
      <c r="P55" s="172"/>
      <c r="Q55" s="172"/>
      <c r="R55" s="172"/>
      <c r="S55" s="172"/>
      <c r="T55" s="172"/>
      <c r="U55" s="114"/>
      <c r="V55" s="172"/>
      <c r="W55" s="172"/>
      <c r="X55" s="172"/>
      <c r="Y55" s="172"/>
      <c r="Z55" s="122"/>
      <c r="AA55" s="122"/>
      <c r="AB55" s="122"/>
      <c r="AC55" s="122"/>
      <c r="AD55" s="122"/>
      <c r="AE55" s="122"/>
      <c r="AF55" s="122"/>
      <c r="AG55" s="122"/>
      <c r="AH55" s="122"/>
      <c r="AI55" s="122"/>
      <c r="AJ55" s="122"/>
      <c r="AK55" s="122"/>
      <c r="AL55" s="122"/>
      <c r="AM55" s="122"/>
    </row>
    <row r="56" spans="1:39" s="211" customFormat="1" ht="13.6" x14ac:dyDescent="0.25">
      <c r="A56" s="407" t="str">
        <f>'topprodukte-benzin-diesel'!A49</f>
        <v>Ford</v>
      </c>
      <c r="B56" s="407" t="str">
        <f>'topprodukte-benzin-diesel'!B49</f>
        <v>Focus Turnier</v>
      </c>
      <c r="C56" s="407" t="str">
        <f t="shared" si="0"/>
        <v>Ford Focus Turnier - Benzin</v>
      </c>
      <c r="D56" s="407">
        <f>'topprodukte-benzin-diesel'!O49</f>
        <v>70</v>
      </c>
      <c r="E56" s="407" t="str">
        <f>'topprodukte-benzin-diesel'!J49</f>
        <v>Benzin</v>
      </c>
      <c r="F56" s="409">
        <f t="shared" si="9"/>
        <v>38.429999999999993</v>
      </c>
      <c r="G56" s="407">
        <f>'topprodukte-benzin-diesel'!I49</f>
        <v>4.5</v>
      </c>
      <c r="H56" s="407">
        <f>'topprodukte-benzin-diesel'!K49</f>
        <v>119</v>
      </c>
      <c r="I56" s="231">
        <f>'topprodukte-benzin-diesel'!F49</f>
        <v>25150</v>
      </c>
      <c r="J56" s="408">
        <f t="shared" si="8"/>
        <v>377.25</v>
      </c>
      <c r="K56" s="408">
        <f>J56*Eingabe!$C$48</f>
        <v>113.175</v>
      </c>
      <c r="L56" s="408" t="s">
        <v>3124</v>
      </c>
      <c r="M56" s="475"/>
      <c r="N56" s="172"/>
      <c r="O56" s="172"/>
      <c r="P56" s="172"/>
      <c r="Q56" s="172"/>
      <c r="R56" s="172"/>
      <c r="S56" s="172"/>
      <c r="T56" s="172"/>
      <c r="U56" s="172"/>
      <c r="V56" s="114"/>
      <c r="W56" s="114"/>
      <c r="X56" s="115"/>
      <c r="Y56" s="115"/>
      <c r="Z56" s="115"/>
      <c r="AA56" s="115"/>
      <c r="AB56" s="115"/>
      <c r="AC56" s="115"/>
      <c r="AD56" s="115"/>
      <c r="AE56" s="122"/>
      <c r="AF56" s="122"/>
      <c r="AG56" s="122"/>
      <c r="AH56" s="122"/>
      <c r="AI56" s="122"/>
      <c r="AJ56" s="122"/>
      <c r="AK56" s="122"/>
      <c r="AL56" s="122"/>
      <c r="AM56" s="122"/>
    </row>
    <row r="57" spans="1:39" s="211" customFormat="1" ht="13.6" x14ac:dyDescent="0.25">
      <c r="A57" s="407" t="str">
        <f>'topprodukte-benzin-diesel'!A50</f>
        <v>Ford</v>
      </c>
      <c r="B57" s="407" t="str">
        <f>'topprodukte-benzin-diesel'!B50</f>
        <v>Mondeo</v>
      </c>
      <c r="C57" s="407" t="str">
        <f t="shared" si="0"/>
        <v>Ford Mondeo - Benzin</v>
      </c>
      <c r="D57" s="407">
        <f>'topprodukte-benzin-diesel'!O50</f>
        <v>88</v>
      </c>
      <c r="E57" s="407" t="str">
        <f>'topprodukte-benzin-diesel'!J50</f>
        <v>Benzin</v>
      </c>
      <c r="F57" s="409">
        <f t="shared" si="9"/>
        <v>41.845999999999997</v>
      </c>
      <c r="G57" s="407">
        <f>'topprodukte-benzin-diesel'!I50</f>
        <v>4.9000000000000004</v>
      </c>
      <c r="H57" s="407">
        <f>'topprodukte-benzin-diesel'!K50</f>
        <v>128</v>
      </c>
      <c r="I57" s="231">
        <f>'topprodukte-benzin-diesel'!F50</f>
        <v>34100</v>
      </c>
      <c r="J57" s="408">
        <f t="shared" si="8"/>
        <v>511.5</v>
      </c>
      <c r="K57" s="408">
        <f>J57*Eingabe!$C$48</f>
        <v>153.44999999999999</v>
      </c>
      <c r="L57" s="408" t="s">
        <v>3124</v>
      </c>
      <c r="M57" s="479"/>
      <c r="N57" s="475"/>
      <c r="O57" s="172"/>
      <c r="P57" s="172"/>
      <c r="Q57" s="480"/>
      <c r="R57" s="172"/>
      <c r="S57" s="172"/>
      <c r="T57" s="172"/>
      <c r="U57" s="172"/>
      <c r="V57" s="172"/>
      <c r="W57" s="114"/>
      <c r="X57" s="114"/>
      <c r="Y57" s="114"/>
      <c r="Z57" s="115"/>
      <c r="AA57" s="115"/>
      <c r="AB57" s="115"/>
      <c r="AC57" s="115"/>
      <c r="AD57" s="115"/>
      <c r="AE57" s="115"/>
      <c r="AF57" s="115"/>
      <c r="AG57" s="122"/>
      <c r="AH57" s="122"/>
      <c r="AI57" s="122"/>
      <c r="AJ57" s="122"/>
      <c r="AK57" s="122"/>
      <c r="AL57" s="122"/>
      <c r="AM57" s="122"/>
    </row>
    <row r="58" spans="1:39" s="211" customFormat="1" ht="13.6" x14ac:dyDescent="0.25">
      <c r="A58" s="407" t="str">
        <f>'topprodukte-benzin-diesel'!A51</f>
        <v>Ford</v>
      </c>
      <c r="B58" s="407" t="str">
        <f>'topprodukte-benzin-diesel'!B51</f>
        <v>EcoSport</v>
      </c>
      <c r="C58" s="407" t="str">
        <f t="shared" si="0"/>
        <v>Ford EcoSport - Benzin</v>
      </c>
      <c r="D58" s="407">
        <f>'topprodukte-benzin-diesel'!O51</f>
        <v>74</v>
      </c>
      <c r="E58" s="407" t="str">
        <f>'topprodukte-benzin-diesel'!J51</f>
        <v>Benzin</v>
      </c>
      <c r="F58" s="409">
        <f t="shared" si="9"/>
        <v>41.845999999999997</v>
      </c>
      <c r="G58" s="407">
        <f>'topprodukte-benzin-diesel'!I51</f>
        <v>4.9000000000000004</v>
      </c>
      <c r="H58" s="407">
        <f>'topprodukte-benzin-diesel'!K51</f>
        <v>129</v>
      </c>
      <c r="I58" s="231">
        <f>'topprodukte-benzin-diesel'!F51</f>
        <v>23700</v>
      </c>
      <c r="J58" s="408">
        <f t="shared" si="8"/>
        <v>355.5</v>
      </c>
      <c r="K58" s="408">
        <f>J58*Eingabe!$C$48</f>
        <v>106.64999999999999</v>
      </c>
      <c r="L58" s="408" t="s">
        <v>3124</v>
      </c>
      <c r="M58" s="472"/>
      <c r="N58" s="479"/>
      <c r="O58" s="172"/>
      <c r="P58" s="172"/>
      <c r="Q58" s="172"/>
      <c r="R58" s="172"/>
      <c r="S58" s="172"/>
      <c r="T58" s="172"/>
      <c r="U58" s="172"/>
      <c r="V58" s="172"/>
      <c r="W58" s="114"/>
      <c r="X58" s="114"/>
      <c r="Y58" s="114"/>
      <c r="Z58" s="115"/>
      <c r="AA58" s="115"/>
      <c r="AB58" s="115"/>
      <c r="AC58" s="115"/>
      <c r="AD58" s="115"/>
      <c r="AE58" s="115"/>
      <c r="AF58" s="115"/>
      <c r="AG58" s="122"/>
      <c r="AH58" s="122"/>
      <c r="AI58" s="122"/>
      <c r="AJ58" s="122"/>
      <c r="AK58" s="122"/>
      <c r="AL58" s="122"/>
      <c r="AM58" s="122"/>
    </row>
    <row r="59" spans="1:39" s="211" customFormat="1" ht="16.3" x14ac:dyDescent="0.3">
      <c r="A59" s="407" t="str">
        <f>'topprodukte-benzin-diesel'!A52</f>
        <v>Ford</v>
      </c>
      <c r="B59" s="407" t="str">
        <f>'topprodukte-benzin-diesel'!B52</f>
        <v>Tourneo Courier</v>
      </c>
      <c r="C59" s="407" t="str">
        <f t="shared" si="0"/>
        <v>Ford Tourneo Courier - Benzin</v>
      </c>
      <c r="D59" s="407">
        <f>'topprodukte-benzin-diesel'!O52</f>
        <v>55</v>
      </c>
      <c r="E59" s="407" t="str">
        <f>'topprodukte-benzin-diesel'!J52</f>
        <v>Benzin</v>
      </c>
      <c r="F59" s="409">
        <f t="shared" si="9"/>
        <v>46.116</v>
      </c>
      <c r="G59" s="407">
        <f>'topprodukte-benzin-diesel'!I52</f>
        <v>5.4</v>
      </c>
      <c r="H59" s="407">
        <f>'topprodukte-benzin-diesel'!K52</f>
        <v>141</v>
      </c>
      <c r="I59" s="231">
        <f>'topprodukte-benzin-diesel'!F52</f>
        <v>18142</v>
      </c>
      <c r="J59" s="408">
        <f t="shared" si="8"/>
        <v>362.84000000000003</v>
      </c>
      <c r="K59" s="408">
        <f>J59*Eingabe!$C$48</f>
        <v>108.852</v>
      </c>
      <c r="L59" s="408" t="s">
        <v>3124</v>
      </c>
      <c r="M59" s="478"/>
      <c r="N59" s="472"/>
      <c r="O59" s="172"/>
      <c r="P59" s="172"/>
      <c r="Q59" s="172"/>
      <c r="R59" s="172"/>
      <c r="S59" s="172"/>
      <c r="T59" s="172"/>
      <c r="U59" s="172"/>
      <c r="V59" s="172"/>
      <c r="W59" s="114"/>
      <c r="X59" s="114"/>
      <c r="Y59" s="114"/>
      <c r="Z59" s="115"/>
      <c r="AA59" s="115"/>
      <c r="AB59" s="115"/>
      <c r="AC59" s="115"/>
      <c r="AD59" s="115"/>
      <c r="AE59" s="115"/>
      <c r="AF59" s="115"/>
      <c r="AG59" s="122"/>
      <c r="AH59" s="122"/>
      <c r="AI59" s="122"/>
      <c r="AJ59" s="122"/>
      <c r="AK59" s="122"/>
      <c r="AL59" s="122"/>
      <c r="AM59" s="122"/>
    </row>
    <row r="60" spans="1:39" s="211" customFormat="1" ht="16.3" x14ac:dyDescent="0.3">
      <c r="A60" s="407" t="str">
        <f>'topprodukte-benzin-diesel'!A53</f>
        <v>Ford</v>
      </c>
      <c r="B60" s="407" t="str">
        <f>'topprodukte-benzin-diesel'!B53</f>
        <v>Fiesta</v>
      </c>
      <c r="C60" s="407" t="str">
        <f t="shared" si="0"/>
        <v>Ford Fiesta - Diesel</v>
      </c>
      <c r="D60" s="407">
        <f>'topprodukte-benzin-diesel'!O53</f>
        <v>63</v>
      </c>
      <c r="E60" s="407" t="str">
        <f>'topprodukte-benzin-diesel'!J53</f>
        <v>Diesel</v>
      </c>
      <c r="F60" s="409">
        <f t="shared" si="9"/>
        <v>42.447300000000006</v>
      </c>
      <c r="G60" s="407">
        <f>'topprodukte-benzin-diesel'!I53</f>
        <v>4.2</v>
      </c>
      <c r="H60" s="407">
        <f>'topprodukte-benzin-diesel'!K53</f>
        <v>111</v>
      </c>
      <c r="I60" s="231">
        <f>'topprodukte-benzin-diesel'!F53</f>
        <v>16650</v>
      </c>
      <c r="J60" s="408">
        <f t="shared" si="8"/>
        <v>249.75</v>
      </c>
      <c r="K60" s="408">
        <f>J60*Eingabe!$C$48</f>
        <v>74.924999999999997</v>
      </c>
      <c r="L60" s="408" t="s">
        <v>3124</v>
      </c>
      <c r="M60" s="474"/>
      <c r="N60" s="482"/>
      <c r="O60" s="172"/>
      <c r="P60" s="172"/>
      <c r="Q60" s="172"/>
      <c r="R60" s="172"/>
      <c r="S60" s="172"/>
      <c r="T60" s="172"/>
      <c r="U60" s="172"/>
      <c r="V60" s="172"/>
      <c r="W60" s="114"/>
      <c r="X60" s="114"/>
      <c r="Y60" s="114"/>
      <c r="Z60" s="115"/>
      <c r="AA60" s="115"/>
      <c r="AB60" s="115"/>
      <c r="AC60" s="115"/>
      <c r="AD60" s="115"/>
      <c r="AE60" s="115"/>
      <c r="AF60" s="115"/>
      <c r="AG60" s="122"/>
      <c r="AH60" s="122"/>
      <c r="AI60" s="122"/>
      <c r="AJ60" s="122"/>
      <c r="AK60" s="122"/>
      <c r="AL60" s="122"/>
      <c r="AM60" s="122"/>
    </row>
    <row r="61" spans="1:39" s="211" customFormat="1" ht="13.6" x14ac:dyDescent="0.25">
      <c r="A61" s="407" t="str">
        <f>'topprodukte-benzin-diesel'!A54</f>
        <v>Ford</v>
      </c>
      <c r="B61" s="407" t="str">
        <f>'topprodukte-benzin-diesel'!B54</f>
        <v>Focus</v>
      </c>
      <c r="C61" s="407" t="str">
        <f t="shared" si="0"/>
        <v>Ford Focus - Diesel</v>
      </c>
      <c r="D61" s="407">
        <f>'topprodukte-benzin-diesel'!O54</f>
        <v>70</v>
      </c>
      <c r="E61" s="407" t="str">
        <f>'topprodukte-benzin-diesel'!J54</f>
        <v>Diesel</v>
      </c>
      <c r="F61" s="409">
        <f t="shared" si="9"/>
        <v>45.47925</v>
      </c>
      <c r="G61" s="407">
        <f>'topprodukte-benzin-diesel'!I54</f>
        <v>4.5</v>
      </c>
      <c r="H61" s="407">
        <f>'topprodukte-benzin-diesel'!K54</f>
        <v>117</v>
      </c>
      <c r="I61" s="231">
        <f>'topprodukte-benzin-diesel'!F54</f>
        <v>23650</v>
      </c>
      <c r="J61" s="408">
        <f t="shared" si="8"/>
        <v>354.75</v>
      </c>
      <c r="K61" s="408">
        <f>J61*Eingabe!$C$48</f>
        <v>106.425</v>
      </c>
      <c r="L61" s="408" t="s">
        <v>3124</v>
      </c>
      <c r="M61" s="122"/>
      <c r="N61" s="474"/>
      <c r="O61" s="172"/>
      <c r="P61" s="172"/>
      <c r="Q61" s="172"/>
      <c r="R61" s="172"/>
      <c r="S61" s="122"/>
      <c r="T61" s="122"/>
      <c r="U61" s="122"/>
      <c r="V61" s="172"/>
      <c r="W61" s="114"/>
      <c r="X61" s="114"/>
      <c r="Y61" s="114"/>
      <c r="Z61" s="115"/>
      <c r="AA61" s="115"/>
      <c r="AB61" s="115"/>
      <c r="AC61" s="115"/>
      <c r="AD61" s="115"/>
      <c r="AE61" s="115"/>
      <c r="AF61" s="115"/>
      <c r="AG61" s="122"/>
      <c r="AH61" s="122"/>
      <c r="AI61" s="122"/>
      <c r="AJ61" s="122"/>
      <c r="AK61" s="122"/>
      <c r="AL61" s="122"/>
      <c r="AM61" s="122"/>
    </row>
    <row r="62" spans="1:39" s="211" customFormat="1" ht="13.6" x14ac:dyDescent="0.25">
      <c r="A62" s="407" t="str">
        <f>'topprodukte-benzin-diesel'!A55</f>
        <v>Ford</v>
      </c>
      <c r="B62" s="407" t="str">
        <f>'topprodukte-benzin-diesel'!B55</f>
        <v>Puma</v>
      </c>
      <c r="C62" s="407" t="str">
        <f t="shared" si="0"/>
        <v>Ford Puma - Diesel</v>
      </c>
      <c r="D62" s="407">
        <f>'topprodukte-benzin-diesel'!O55</f>
        <v>88</v>
      </c>
      <c r="E62" s="407" t="str">
        <f>'topprodukte-benzin-diesel'!J55</f>
        <v>Diesel</v>
      </c>
      <c r="F62" s="409">
        <f t="shared" si="9"/>
        <v>45.47925</v>
      </c>
      <c r="G62" s="407">
        <f>'topprodukte-benzin-diesel'!I55</f>
        <v>4.5</v>
      </c>
      <c r="H62" s="407">
        <f>'topprodukte-benzin-diesel'!K55</f>
        <v>118</v>
      </c>
      <c r="I62" s="231">
        <f>'topprodukte-benzin-diesel'!F55</f>
        <v>25890</v>
      </c>
      <c r="J62" s="408">
        <f t="shared" si="8"/>
        <v>388.34999999999997</v>
      </c>
      <c r="K62" s="408">
        <f>J62*Eingabe!$C$48</f>
        <v>116.50499999999998</v>
      </c>
      <c r="L62" s="408" t="s">
        <v>3124</v>
      </c>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row>
    <row r="63" spans="1:39" s="211" customFormat="1" ht="13.6" x14ac:dyDescent="0.25">
      <c r="A63" s="407" t="str">
        <f>'topprodukte-benzin-diesel'!A56</f>
        <v>Ford</v>
      </c>
      <c r="B63" s="407" t="str">
        <f>'topprodukte-benzin-diesel'!B56</f>
        <v>Focus Turnier</v>
      </c>
      <c r="C63" s="407" t="str">
        <f t="shared" si="0"/>
        <v>Ford Focus Turnier - Diesel</v>
      </c>
      <c r="D63" s="407">
        <f>'topprodukte-benzin-diesel'!O56</f>
        <v>70</v>
      </c>
      <c r="E63" s="407" t="str">
        <f>'topprodukte-benzin-diesel'!J56</f>
        <v>Diesel</v>
      </c>
      <c r="F63" s="409">
        <f t="shared" si="9"/>
        <v>45.47925</v>
      </c>
      <c r="G63" s="407">
        <f>'topprodukte-benzin-diesel'!I56</f>
        <v>4.5</v>
      </c>
      <c r="H63" s="407">
        <f>'topprodukte-benzin-diesel'!K56</f>
        <v>119</v>
      </c>
      <c r="I63" s="231">
        <f>'topprodukte-benzin-diesel'!F56</f>
        <v>25150</v>
      </c>
      <c r="J63" s="408">
        <f t="shared" si="8"/>
        <v>377.25</v>
      </c>
      <c r="K63" s="408">
        <f>J63*Eingabe!$C$48</f>
        <v>113.175</v>
      </c>
      <c r="L63" s="408" t="s">
        <v>3124</v>
      </c>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row>
    <row r="64" spans="1:39" s="211" customFormat="1" ht="13.6" x14ac:dyDescent="0.25">
      <c r="A64" s="407" t="str">
        <f>'topprodukte-benzin-diesel'!A57</f>
        <v>Ford</v>
      </c>
      <c r="B64" s="407" t="str">
        <f>'topprodukte-benzin-diesel'!B57</f>
        <v>Mondeo</v>
      </c>
      <c r="C64" s="407" t="str">
        <f t="shared" si="0"/>
        <v>Ford Mondeo - Diesel</v>
      </c>
      <c r="D64" s="407">
        <f>'topprodukte-benzin-diesel'!O57</f>
        <v>88</v>
      </c>
      <c r="E64" s="407" t="str">
        <f>'topprodukte-benzin-diesel'!J57</f>
        <v>Diesel</v>
      </c>
      <c r="F64" s="409">
        <v>41</v>
      </c>
      <c r="G64" s="407">
        <f>'topprodukte-benzin-diesel'!I57</f>
        <v>4.9000000000000004</v>
      </c>
      <c r="H64" s="407">
        <f>'topprodukte-benzin-diesel'!K57</f>
        <v>128</v>
      </c>
      <c r="I64" s="231">
        <f>'topprodukte-benzin-diesel'!F57</f>
        <v>34100</v>
      </c>
      <c r="J64" s="408">
        <f t="shared" si="8"/>
        <v>511.5</v>
      </c>
      <c r="K64" s="408">
        <f>J64*Eingabe!$C$48</f>
        <v>153.44999999999999</v>
      </c>
      <c r="L64" s="408" t="s">
        <v>3124</v>
      </c>
      <c r="M64" s="172"/>
      <c r="N64" s="122"/>
      <c r="O64" s="122"/>
      <c r="P64" s="122"/>
      <c r="Q64" s="122"/>
      <c r="R64" s="122"/>
      <c r="S64" s="172"/>
      <c r="T64" s="172"/>
      <c r="U64" s="114"/>
      <c r="V64" s="122"/>
      <c r="W64" s="122"/>
      <c r="X64" s="122"/>
      <c r="Y64" s="122"/>
      <c r="Z64" s="122"/>
      <c r="AA64" s="122"/>
      <c r="AB64" s="122"/>
      <c r="AC64" s="122"/>
      <c r="AD64" s="122"/>
      <c r="AE64" s="122"/>
      <c r="AF64" s="122"/>
      <c r="AG64" s="122"/>
      <c r="AH64" s="122"/>
      <c r="AI64" s="122"/>
      <c r="AJ64" s="122"/>
      <c r="AK64" s="122"/>
      <c r="AL64" s="122"/>
      <c r="AM64" s="122"/>
    </row>
    <row r="65" spans="1:39" s="211" customFormat="1" ht="13.6" x14ac:dyDescent="0.25">
      <c r="A65" s="407" t="str">
        <f>'topprodukte-benzin-diesel'!A58</f>
        <v>Ford</v>
      </c>
      <c r="B65" s="407" t="str">
        <f>'topprodukte-benzin-diesel'!B58</f>
        <v>EcoSport</v>
      </c>
      <c r="C65" s="407" t="str">
        <f t="shared" si="0"/>
        <v>Ford EcoSport - Diesel</v>
      </c>
      <c r="D65" s="407">
        <f>'topprodukte-benzin-diesel'!O58</f>
        <v>74</v>
      </c>
      <c r="E65" s="407" t="str">
        <f>'topprodukte-benzin-diesel'!J58</f>
        <v>Diesel</v>
      </c>
      <c r="F65" s="409">
        <f>IF(E65="Benzin",$O$3*G65,$O$4*G65)</f>
        <v>49.521850000000008</v>
      </c>
      <c r="G65" s="407">
        <f>'topprodukte-benzin-diesel'!I58</f>
        <v>4.9000000000000004</v>
      </c>
      <c r="H65" s="407">
        <f>'topprodukte-benzin-diesel'!K58</f>
        <v>129</v>
      </c>
      <c r="I65" s="231">
        <f>'topprodukte-benzin-diesel'!F58</f>
        <v>23700</v>
      </c>
      <c r="J65" s="408">
        <f t="shared" si="8"/>
        <v>355.5</v>
      </c>
      <c r="K65" s="408">
        <f>J65*Eingabe!$C$48</f>
        <v>106.64999999999999</v>
      </c>
      <c r="L65" s="408" t="s">
        <v>3124</v>
      </c>
      <c r="M65" s="172"/>
      <c r="N65" s="172"/>
      <c r="O65" s="172"/>
      <c r="P65" s="172"/>
      <c r="Q65" s="172"/>
      <c r="R65" s="172"/>
      <c r="S65" s="172"/>
      <c r="T65" s="172"/>
      <c r="U65" s="114"/>
      <c r="V65" s="114"/>
      <c r="W65" s="114"/>
      <c r="X65" s="115"/>
      <c r="Y65" s="115"/>
      <c r="Z65" s="115"/>
      <c r="AA65" s="115"/>
      <c r="AB65" s="115"/>
      <c r="AC65" s="115"/>
      <c r="AD65" s="115"/>
      <c r="AE65" s="122"/>
      <c r="AF65" s="122"/>
      <c r="AG65" s="122"/>
      <c r="AH65" s="122"/>
      <c r="AI65" s="122"/>
      <c r="AJ65" s="122"/>
      <c r="AK65" s="122"/>
      <c r="AL65" s="122"/>
      <c r="AM65" s="122"/>
    </row>
    <row r="66" spans="1:39" s="211" customFormat="1" ht="13.6" x14ac:dyDescent="0.25">
      <c r="A66" s="407" t="str">
        <f>'topprodukte-benzin-diesel'!A59</f>
        <v>Ford</v>
      </c>
      <c r="B66" s="407" t="str">
        <f>'topprodukte-benzin-diesel'!B59</f>
        <v>Tourneo Courier</v>
      </c>
      <c r="C66" s="407" t="str">
        <f t="shared" si="0"/>
        <v>Ford Tourneo Courier - Diesel</v>
      </c>
      <c r="D66" s="407">
        <f>'topprodukte-benzin-diesel'!O59</f>
        <v>55</v>
      </c>
      <c r="E66" s="407" t="str">
        <f>'topprodukte-benzin-diesel'!J59</f>
        <v>Diesel</v>
      </c>
      <c r="F66" s="409">
        <f>IF(E66="Benzin",$O$3*G66,$O$4*G66)</f>
        <v>54.575100000000006</v>
      </c>
      <c r="G66" s="407">
        <f>'topprodukte-benzin-diesel'!I59</f>
        <v>5.4</v>
      </c>
      <c r="H66" s="407">
        <f>'topprodukte-benzin-diesel'!K59</f>
        <v>141</v>
      </c>
      <c r="I66" s="231">
        <f>'topprodukte-benzin-diesel'!F59</f>
        <v>18142</v>
      </c>
      <c r="J66" s="408">
        <f t="shared" si="8"/>
        <v>362.84000000000003</v>
      </c>
      <c r="K66" s="408">
        <f>J66*Eingabe!$C$48</f>
        <v>108.852</v>
      </c>
      <c r="L66" s="408" t="s">
        <v>3124</v>
      </c>
      <c r="M66" s="475"/>
      <c r="N66" s="172"/>
      <c r="O66" s="483"/>
      <c r="P66" s="172"/>
      <c r="Q66" s="172"/>
      <c r="R66" s="172"/>
      <c r="S66" s="172"/>
      <c r="T66" s="172"/>
      <c r="U66" s="172"/>
      <c r="V66" s="114"/>
      <c r="W66" s="114"/>
      <c r="X66" s="115"/>
      <c r="Y66" s="115"/>
      <c r="Z66" s="115"/>
      <c r="AA66" s="115"/>
      <c r="AB66" s="115"/>
      <c r="AC66" s="115"/>
      <c r="AD66" s="115"/>
      <c r="AE66" s="122"/>
      <c r="AF66" s="122"/>
      <c r="AG66" s="122"/>
      <c r="AH66" s="122"/>
      <c r="AI66" s="122"/>
      <c r="AJ66" s="122"/>
      <c r="AK66" s="122"/>
      <c r="AL66" s="122"/>
      <c r="AM66" s="122"/>
    </row>
    <row r="67" spans="1:39" s="211" customFormat="1" ht="13.6" x14ac:dyDescent="0.25">
      <c r="A67" s="407" t="str">
        <f>'topprodukte-benzin-diesel'!A60</f>
        <v>Honda</v>
      </c>
      <c r="B67" s="407" t="str">
        <f>'topprodukte-benzin-diesel'!B60</f>
        <v>Civic</v>
      </c>
      <c r="C67" s="407" t="str">
        <f t="shared" si="0"/>
        <v>Honda Civic - Benzin</v>
      </c>
      <c r="D67" s="407">
        <f>'topprodukte-benzin-diesel'!O60</f>
        <v>93</v>
      </c>
      <c r="E67" s="407" t="str">
        <f>'topprodukte-benzin-diesel'!J60</f>
        <v>Benzin</v>
      </c>
      <c r="F67" s="409">
        <f>IF(E67="Benzin",$O$3*G67,$O$4*G67)</f>
        <v>48.677999999999997</v>
      </c>
      <c r="G67" s="407">
        <f>'topprodukte-benzin-diesel'!I60</f>
        <v>5.7</v>
      </c>
      <c r="H67" s="407">
        <f>'topprodukte-benzin-diesel'!K60</f>
        <v>128</v>
      </c>
      <c r="I67" s="231">
        <f>'topprodukte-benzin-diesel'!F60</f>
        <v>22890</v>
      </c>
      <c r="J67" s="408">
        <f t="shared" si="8"/>
        <v>343.34999999999997</v>
      </c>
      <c r="K67" s="408">
        <f>J67*Eingabe!$C$48</f>
        <v>103.00499999999998</v>
      </c>
      <c r="L67" s="408" t="s">
        <v>3124</v>
      </c>
      <c r="M67" s="172"/>
      <c r="N67" s="475"/>
      <c r="O67" s="172"/>
      <c r="P67" s="172"/>
      <c r="Q67" s="483"/>
      <c r="R67" s="172"/>
      <c r="S67" s="172"/>
      <c r="T67" s="172"/>
      <c r="U67" s="172"/>
      <c r="V67" s="172"/>
      <c r="W67" s="114"/>
      <c r="X67" s="114"/>
      <c r="Y67" s="114"/>
      <c r="Z67" s="115"/>
      <c r="AA67" s="115"/>
      <c r="AB67" s="115"/>
      <c r="AC67" s="115"/>
      <c r="AD67" s="115"/>
      <c r="AE67" s="115"/>
      <c r="AF67" s="115"/>
      <c r="AG67" s="122"/>
      <c r="AH67" s="122"/>
      <c r="AI67" s="122"/>
      <c r="AJ67" s="122"/>
      <c r="AK67" s="122"/>
      <c r="AL67" s="122"/>
      <c r="AM67" s="122"/>
    </row>
    <row r="68" spans="1:39" s="211" customFormat="1" ht="13.6" x14ac:dyDescent="0.25">
      <c r="A68" s="407" t="str">
        <f>'topprodukte-benzin-diesel'!A61</f>
        <v>Honda</v>
      </c>
      <c r="B68" s="407" t="str">
        <f>'topprodukte-benzin-diesel'!B61</f>
        <v>HR-V</v>
      </c>
      <c r="C68" s="407" t="str">
        <f t="shared" si="0"/>
        <v>Honda HR-V - Benzin</v>
      </c>
      <c r="D68" s="407">
        <f>'topprodukte-benzin-diesel'!O61</f>
        <v>96</v>
      </c>
      <c r="E68" s="407" t="str">
        <f>'topprodukte-benzin-diesel'!J61</f>
        <v>Benzin</v>
      </c>
      <c r="F68" s="409">
        <v>36.299999999999997</v>
      </c>
      <c r="G68" s="407">
        <f>'topprodukte-benzin-diesel'!I61</f>
        <v>6.6</v>
      </c>
      <c r="H68" s="407">
        <f>'topprodukte-benzin-diesel'!K61</f>
        <v>148</v>
      </c>
      <c r="I68" s="231">
        <f>'topprodukte-benzin-diesel'!F61</f>
        <v>23290</v>
      </c>
      <c r="J68" s="408">
        <f t="shared" si="8"/>
        <v>465.8</v>
      </c>
      <c r="K68" s="408">
        <f>J68*Eingabe!$C$48</f>
        <v>139.74</v>
      </c>
      <c r="L68" s="408" t="s">
        <v>3124</v>
      </c>
      <c r="M68" s="122"/>
      <c r="N68" s="234"/>
      <c r="O68" s="172"/>
      <c r="P68" s="172"/>
      <c r="Q68" s="172"/>
      <c r="R68" s="172"/>
      <c r="S68" s="172"/>
      <c r="T68" s="172"/>
      <c r="U68" s="172"/>
      <c r="V68" s="172"/>
      <c r="W68" s="114"/>
      <c r="X68" s="172"/>
      <c r="Y68" s="172"/>
      <c r="Z68" s="122"/>
      <c r="AA68" s="122"/>
      <c r="AB68" s="122"/>
      <c r="AC68" s="122"/>
      <c r="AD68" s="122"/>
      <c r="AE68" s="122"/>
      <c r="AF68" s="122"/>
      <c r="AG68" s="122"/>
      <c r="AH68" s="122"/>
      <c r="AI68" s="122"/>
      <c r="AJ68" s="122"/>
      <c r="AK68" s="122"/>
      <c r="AL68" s="122"/>
      <c r="AM68" s="122"/>
    </row>
    <row r="69" spans="1:39" s="211" customFormat="1" ht="13.6" x14ac:dyDescent="0.25">
      <c r="A69" s="407" t="str">
        <f>'topprodukte-benzin-diesel'!A62</f>
        <v>Honda</v>
      </c>
      <c r="B69" s="407" t="str">
        <f>'topprodukte-benzin-diesel'!B62</f>
        <v>Civic</v>
      </c>
      <c r="C69" s="407" t="str">
        <f t="shared" si="0"/>
        <v>Honda Civic - Benzin</v>
      </c>
      <c r="D69" s="407">
        <f>'topprodukte-benzin-diesel'!O62</f>
        <v>88</v>
      </c>
      <c r="E69" s="407" t="str">
        <f>'topprodukte-benzin-diesel'!J62</f>
        <v>Benzin</v>
      </c>
      <c r="F69" s="409">
        <f t="shared" ref="F69:F84" si="10">IF(E69="Benzin",$O$3*G69,$O$4*G69)</f>
        <v>39.283999999999992</v>
      </c>
      <c r="G69" s="407">
        <f>'topprodukte-benzin-diesel'!I62</f>
        <v>4.5999999999999996</v>
      </c>
      <c r="H69" s="407">
        <f>'topprodukte-benzin-diesel'!K62</f>
        <v>121</v>
      </c>
      <c r="I69" s="231">
        <f>'topprodukte-benzin-diesel'!F62</f>
        <v>24390</v>
      </c>
      <c r="J69" s="408">
        <f t="shared" si="8"/>
        <v>365.84999999999997</v>
      </c>
      <c r="K69" s="408">
        <f>J69*Eingabe!$C$48</f>
        <v>109.75499999999998</v>
      </c>
      <c r="L69" s="408" t="s">
        <v>3124</v>
      </c>
      <c r="M69" s="122"/>
      <c r="N69" s="172"/>
      <c r="O69" s="172"/>
      <c r="P69" s="172"/>
      <c r="Q69" s="172"/>
      <c r="R69" s="172"/>
      <c r="S69" s="122"/>
      <c r="T69" s="122"/>
      <c r="U69" s="122"/>
      <c r="V69" s="172"/>
      <c r="W69" s="172"/>
      <c r="X69" s="172"/>
      <c r="Y69" s="172"/>
      <c r="Z69" s="122"/>
      <c r="AA69" s="122"/>
      <c r="AB69" s="122"/>
      <c r="AC69" s="122"/>
      <c r="AD69" s="122"/>
      <c r="AE69" s="122"/>
      <c r="AF69" s="122"/>
      <c r="AG69" s="122"/>
      <c r="AH69" s="122"/>
      <c r="AI69" s="122"/>
      <c r="AJ69" s="122"/>
      <c r="AK69" s="122"/>
      <c r="AL69" s="122"/>
      <c r="AM69" s="122"/>
    </row>
    <row r="70" spans="1:39" s="211" customFormat="1" ht="13.6" x14ac:dyDescent="0.25">
      <c r="A70" s="407" t="str">
        <f>'topprodukte-benzin-diesel'!A63</f>
        <v>Honda</v>
      </c>
      <c r="B70" s="407" t="str">
        <f>'topprodukte-benzin-diesel'!B63</f>
        <v>HR-V</v>
      </c>
      <c r="C70" s="407" t="str">
        <f t="shared" ref="C70:C133" si="11">CONCATENATE(A70," ",B70," - ",E70)</f>
        <v>Honda HR-V - Benzin</v>
      </c>
      <c r="D70" s="407">
        <f>'topprodukte-benzin-diesel'!O63</f>
        <v>88</v>
      </c>
      <c r="E70" s="407" t="str">
        <f>'topprodukte-benzin-diesel'!J63</f>
        <v>Benzin</v>
      </c>
      <c r="F70" s="409">
        <f t="shared" si="10"/>
        <v>42.699999999999996</v>
      </c>
      <c r="G70" s="407">
        <f>'topprodukte-benzin-diesel'!I63</f>
        <v>5</v>
      </c>
      <c r="H70" s="407">
        <f>'topprodukte-benzin-diesel'!K63</f>
        <v>132</v>
      </c>
      <c r="I70" s="231">
        <f>'topprodukte-benzin-diesel'!F63</f>
        <v>25790</v>
      </c>
      <c r="J70" s="408">
        <f t="shared" si="8"/>
        <v>386.84999999999997</v>
      </c>
      <c r="K70" s="408">
        <f>J70*Eingabe!$C$48</f>
        <v>116.05499999999998</v>
      </c>
      <c r="L70" s="408" t="s">
        <v>3124</v>
      </c>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row>
    <row r="71" spans="1:39" s="211" customFormat="1" ht="13.6" x14ac:dyDescent="0.25">
      <c r="A71" s="407" t="str">
        <f>'topprodukte-benzin-diesel'!A64</f>
        <v>Honda</v>
      </c>
      <c r="B71" s="407" t="str">
        <f>'topprodukte-benzin-diesel'!B64</f>
        <v>Civic</v>
      </c>
      <c r="C71" s="407" t="str">
        <f t="shared" si="11"/>
        <v>Honda Civic - Diesel</v>
      </c>
      <c r="D71" s="407">
        <f>'topprodukte-benzin-diesel'!O64</f>
        <v>88</v>
      </c>
      <c r="E71" s="407" t="str">
        <f>'topprodukte-benzin-diesel'!J64</f>
        <v>Diesel</v>
      </c>
      <c r="F71" s="409">
        <f t="shared" si="10"/>
        <v>46.489899999999999</v>
      </c>
      <c r="G71" s="407">
        <f>'topprodukte-benzin-diesel'!I64</f>
        <v>4.5999999999999996</v>
      </c>
      <c r="H71" s="407">
        <f>'topprodukte-benzin-diesel'!K64</f>
        <v>121</v>
      </c>
      <c r="I71" s="231">
        <f>'topprodukte-benzin-diesel'!F64</f>
        <v>24390</v>
      </c>
      <c r="J71" s="408">
        <f t="shared" si="8"/>
        <v>365.84999999999997</v>
      </c>
      <c r="K71" s="408">
        <f>J71*Eingabe!$C$48</f>
        <v>109.75499999999998</v>
      </c>
      <c r="L71" s="408" t="s">
        <v>3124</v>
      </c>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row>
    <row r="72" spans="1:39" s="211" customFormat="1" ht="13.6" x14ac:dyDescent="0.25">
      <c r="A72" s="407" t="str">
        <f>'topprodukte-benzin-diesel'!A65</f>
        <v>Hyundai</v>
      </c>
      <c r="B72" s="407" t="str">
        <f>'topprodukte-benzin-diesel'!B65</f>
        <v>i10</v>
      </c>
      <c r="C72" s="407" t="str">
        <f t="shared" si="11"/>
        <v>Hyundai i10 - Benzin</v>
      </c>
      <c r="D72" s="407">
        <f>'topprodukte-benzin-diesel'!O65</f>
        <v>49</v>
      </c>
      <c r="E72" s="407" t="str">
        <f>'topprodukte-benzin-diesel'!J65</f>
        <v>Benzin</v>
      </c>
      <c r="F72" s="409">
        <f t="shared" si="10"/>
        <v>40.991999999999997</v>
      </c>
      <c r="G72" s="407">
        <f>'topprodukte-benzin-diesel'!I65</f>
        <v>4.8</v>
      </c>
      <c r="H72" s="407">
        <f>'topprodukte-benzin-diesel'!K65</f>
        <v>110</v>
      </c>
      <c r="I72" s="231">
        <f>'topprodukte-benzin-diesel'!F65</f>
        <v>10990</v>
      </c>
      <c r="J72" s="408">
        <f t="shared" si="8"/>
        <v>164.85</v>
      </c>
      <c r="K72" s="408">
        <f>J72*Eingabe!$C$48</f>
        <v>49.454999999999998</v>
      </c>
      <c r="L72" s="408" t="s">
        <v>3124</v>
      </c>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row>
    <row r="73" spans="1:39" s="211" customFormat="1" ht="13.6" x14ac:dyDescent="0.25">
      <c r="A73" s="407" t="str">
        <f>'topprodukte-benzin-diesel'!A66</f>
        <v>Hyundai</v>
      </c>
      <c r="B73" s="407" t="str">
        <f>'topprodukte-benzin-diesel'!B66</f>
        <v>i20</v>
      </c>
      <c r="C73" s="407" t="str">
        <f t="shared" si="11"/>
        <v>Hyundai i20 - Benzin</v>
      </c>
      <c r="D73" s="407">
        <f>'topprodukte-benzin-diesel'!O66</f>
        <v>74</v>
      </c>
      <c r="E73" s="407" t="str">
        <f>'topprodukte-benzin-diesel'!J66</f>
        <v>Benzin</v>
      </c>
      <c r="F73" s="409">
        <f t="shared" si="10"/>
        <v>46.97</v>
      </c>
      <c r="G73" s="407">
        <f>'topprodukte-benzin-diesel'!I66</f>
        <v>5.5</v>
      </c>
      <c r="H73" s="407">
        <f>'topprodukte-benzin-diesel'!K66</f>
        <v>126</v>
      </c>
      <c r="I73" s="231">
        <f>'topprodukte-benzin-diesel'!F66</f>
        <v>17190</v>
      </c>
      <c r="J73" s="408">
        <f t="shared" si="8"/>
        <v>257.84999999999997</v>
      </c>
      <c r="K73" s="408">
        <f>J73*Eingabe!$C$48</f>
        <v>77.35499999999999</v>
      </c>
      <c r="L73" s="408" t="s">
        <v>3124</v>
      </c>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row>
    <row r="74" spans="1:39" s="211" customFormat="1" ht="13.6" x14ac:dyDescent="0.25">
      <c r="A74" s="407" t="str">
        <f>'topprodukte-benzin-diesel'!A67</f>
        <v>Hyundai</v>
      </c>
      <c r="B74" s="407" t="str">
        <f>'topprodukte-benzin-diesel'!B67</f>
        <v>i30 Combi</v>
      </c>
      <c r="C74" s="407" t="str">
        <f t="shared" si="11"/>
        <v>Hyundai i30 Combi - Benzin</v>
      </c>
      <c r="D74" s="407">
        <f>'topprodukte-benzin-diesel'!O67</f>
        <v>88</v>
      </c>
      <c r="E74" s="407" t="str">
        <f>'topprodukte-benzin-diesel'!J67</f>
        <v>Benzin</v>
      </c>
      <c r="F74" s="409">
        <f t="shared" si="10"/>
        <v>46.116</v>
      </c>
      <c r="G74" s="407">
        <f>'topprodukte-benzin-diesel'!I67</f>
        <v>5.4</v>
      </c>
      <c r="H74" s="407">
        <f>'topprodukte-benzin-diesel'!K67</f>
        <v>123</v>
      </c>
      <c r="I74" s="231">
        <f>'topprodukte-benzin-diesel'!F67</f>
        <v>20590</v>
      </c>
      <c r="J74" s="408">
        <f t="shared" si="8"/>
        <v>308.84999999999997</v>
      </c>
      <c r="K74" s="408">
        <f>J74*Eingabe!$C$48</f>
        <v>92.654999999999987</v>
      </c>
      <c r="L74" s="408" t="s">
        <v>3124</v>
      </c>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row>
    <row r="75" spans="1:39" s="211" customFormat="1" ht="13.6" x14ac:dyDescent="0.25">
      <c r="A75" s="407" t="str">
        <f>'topprodukte-benzin-diesel'!A68</f>
        <v>Hyundai</v>
      </c>
      <c r="B75" s="407" t="str">
        <f>'topprodukte-benzin-diesel'!B68</f>
        <v>Kona</v>
      </c>
      <c r="C75" s="407" t="str">
        <f t="shared" si="11"/>
        <v>Hyundai Kona - Benzin</v>
      </c>
      <c r="D75" s="407">
        <f>'topprodukte-benzin-diesel'!O68</f>
        <v>88</v>
      </c>
      <c r="E75" s="407" t="str">
        <f>'topprodukte-benzin-diesel'!J68</f>
        <v>Benzin</v>
      </c>
      <c r="F75" s="409">
        <f t="shared" si="10"/>
        <v>52.947999999999993</v>
      </c>
      <c r="G75" s="407">
        <f>'topprodukte-benzin-diesel'!I68</f>
        <v>6.2</v>
      </c>
      <c r="H75" s="407">
        <f>'topprodukte-benzin-diesel'!K68</f>
        <v>142</v>
      </c>
      <c r="I75" s="231">
        <f>'topprodukte-benzin-diesel'!F68</f>
        <v>20690</v>
      </c>
      <c r="J75" s="408">
        <f t="shared" si="8"/>
        <v>413.8</v>
      </c>
      <c r="K75" s="408">
        <f>J75*Eingabe!$C$48</f>
        <v>124.14</v>
      </c>
      <c r="L75" s="408" t="s">
        <v>3124</v>
      </c>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row>
    <row r="76" spans="1:39" s="211" customFormat="1" ht="13.6" x14ac:dyDescent="0.25">
      <c r="A76" s="407" t="str">
        <f>'topprodukte-benzin-diesel'!A69</f>
        <v>Hyundai</v>
      </c>
      <c r="B76" s="407" t="str">
        <f>'topprodukte-benzin-diesel'!B69</f>
        <v>i30</v>
      </c>
      <c r="C76" s="407" t="str">
        <f t="shared" si="11"/>
        <v>Hyundai i30 - Benzin</v>
      </c>
      <c r="D76" s="407">
        <f>'topprodukte-benzin-diesel'!O69</f>
        <v>85</v>
      </c>
      <c r="E76" s="407" t="str">
        <f>'topprodukte-benzin-diesel'!J69</f>
        <v>Benzin</v>
      </c>
      <c r="F76" s="409">
        <f t="shared" si="10"/>
        <v>39.283999999999992</v>
      </c>
      <c r="G76" s="407">
        <f>'topprodukte-benzin-diesel'!I69</f>
        <v>4.5999999999999996</v>
      </c>
      <c r="H76" s="407">
        <f>'topprodukte-benzin-diesel'!K69</f>
        <v>118</v>
      </c>
      <c r="I76" s="231">
        <f>'topprodukte-benzin-diesel'!F69</f>
        <v>22590</v>
      </c>
      <c r="J76" s="408">
        <f t="shared" si="8"/>
        <v>338.84999999999997</v>
      </c>
      <c r="K76" s="408">
        <f>J76*Eingabe!$C$48</f>
        <v>101.65499999999999</v>
      </c>
      <c r="L76" s="408" t="s">
        <v>3124</v>
      </c>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row>
    <row r="77" spans="1:39" s="211" customFormat="1" ht="13.6" x14ac:dyDescent="0.25">
      <c r="A77" s="407" t="str">
        <f>'topprodukte-benzin-diesel'!A70</f>
        <v>Hyundai</v>
      </c>
      <c r="B77" s="407" t="str">
        <f>'topprodukte-benzin-diesel'!B70</f>
        <v>i30 CW</v>
      </c>
      <c r="C77" s="407" t="str">
        <f t="shared" si="11"/>
        <v>Hyundai i30 CW - Benzin</v>
      </c>
      <c r="D77" s="407">
        <f>'topprodukte-benzin-diesel'!O70</f>
        <v>85</v>
      </c>
      <c r="E77" s="407" t="str">
        <f>'topprodukte-benzin-diesel'!J70</f>
        <v>Benzin</v>
      </c>
      <c r="F77" s="409">
        <f t="shared" si="10"/>
        <v>38.429999999999993</v>
      </c>
      <c r="G77" s="407">
        <f>'topprodukte-benzin-diesel'!I70</f>
        <v>4.5</v>
      </c>
      <c r="H77" s="407">
        <f>'topprodukte-benzin-diesel'!K70</f>
        <v>118</v>
      </c>
      <c r="I77" s="231">
        <f>'topprodukte-benzin-diesel'!F70</f>
        <v>22590</v>
      </c>
      <c r="J77" s="408">
        <f t="shared" si="8"/>
        <v>338.84999999999997</v>
      </c>
      <c r="K77" s="408">
        <f>J77*Eingabe!$C$48</f>
        <v>101.65499999999999</v>
      </c>
      <c r="L77" s="408" t="s">
        <v>3124</v>
      </c>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row>
    <row r="78" spans="1:39" s="211" customFormat="1" ht="13.6" x14ac:dyDescent="0.25">
      <c r="A78" s="407" t="str">
        <f>'topprodukte-benzin-diesel'!A71</f>
        <v>Hyundai</v>
      </c>
      <c r="B78" s="407" t="str">
        <f>'topprodukte-benzin-diesel'!B71</f>
        <v>Kona</v>
      </c>
      <c r="C78" s="407" t="str">
        <f t="shared" si="11"/>
        <v>Hyundai Kona - Benzin</v>
      </c>
      <c r="D78" s="407">
        <f>'topprodukte-benzin-diesel'!O71</f>
        <v>85</v>
      </c>
      <c r="E78" s="407" t="str">
        <f>'topprodukte-benzin-diesel'!J71</f>
        <v>Benzin</v>
      </c>
      <c r="F78" s="409">
        <f t="shared" si="10"/>
        <v>42.699999999999996</v>
      </c>
      <c r="G78" s="407">
        <f>'topprodukte-benzin-diesel'!I71</f>
        <v>5</v>
      </c>
      <c r="H78" s="407">
        <f>'topprodukte-benzin-diesel'!K71</f>
        <v>129</v>
      </c>
      <c r="I78" s="231">
        <f>'topprodukte-benzin-diesel'!F71</f>
        <v>22690</v>
      </c>
      <c r="J78" s="408">
        <f t="shared" si="8"/>
        <v>340.34999999999997</v>
      </c>
      <c r="K78" s="408">
        <f>J78*Eingabe!$C$48</f>
        <v>102.10499999999999</v>
      </c>
      <c r="L78" s="408" t="s">
        <v>3124</v>
      </c>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row>
    <row r="79" spans="1:39" s="211" customFormat="1" ht="13.6" x14ac:dyDescent="0.25">
      <c r="A79" s="407" t="str">
        <f>'topprodukte-benzin-diesel'!A72</f>
        <v>Hyundai</v>
      </c>
      <c r="B79" s="407" t="str">
        <f>'topprodukte-benzin-diesel'!B72</f>
        <v>i30</v>
      </c>
      <c r="C79" s="407" t="str">
        <f t="shared" si="11"/>
        <v>Hyundai i30 - Diesel</v>
      </c>
      <c r="D79" s="407">
        <f>'topprodukte-benzin-diesel'!O72</f>
        <v>85</v>
      </c>
      <c r="E79" s="407" t="str">
        <f>'topprodukte-benzin-diesel'!J72</f>
        <v>Diesel</v>
      </c>
      <c r="F79" s="409">
        <f t="shared" si="10"/>
        <v>46.489899999999999</v>
      </c>
      <c r="G79" s="407">
        <f>'topprodukte-benzin-diesel'!I72</f>
        <v>4.5999999999999996</v>
      </c>
      <c r="H79" s="407">
        <f>'topprodukte-benzin-diesel'!K72</f>
        <v>118</v>
      </c>
      <c r="I79" s="231">
        <f>'topprodukte-benzin-diesel'!F72</f>
        <v>22590</v>
      </c>
      <c r="J79" s="408">
        <f t="shared" si="8"/>
        <v>338.84999999999997</v>
      </c>
      <c r="K79" s="408">
        <f>J79*Eingabe!$C$48</f>
        <v>101.65499999999999</v>
      </c>
      <c r="L79" s="408" t="s">
        <v>3124</v>
      </c>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row>
    <row r="80" spans="1:39" s="211" customFormat="1" ht="13.6" x14ac:dyDescent="0.25">
      <c r="A80" s="407" t="str">
        <f>'topprodukte-benzin-diesel'!A73</f>
        <v>Hyundai</v>
      </c>
      <c r="B80" s="407" t="str">
        <f>'topprodukte-benzin-diesel'!B73</f>
        <v>i30 CW</v>
      </c>
      <c r="C80" s="407" t="str">
        <f t="shared" si="11"/>
        <v>Hyundai i30 CW - Diesel</v>
      </c>
      <c r="D80" s="407">
        <f>'topprodukte-benzin-diesel'!O73</f>
        <v>85</v>
      </c>
      <c r="E80" s="407" t="str">
        <f>'topprodukte-benzin-diesel'!J73</f>
        <v>Diesel</v>
      </c>
      <c r="F80" s="409">
        <f t="shared" si="10"/>
        <v>45.47925</v>
      </c>
      <c r="G80" s="407">
        <f>'topprodukte-benzin-diesel'!I73</f>
        <v>4.5</v>
      </c>
      <c r="H80" s="407">
        <f>'topprodukte-benzin-diesel'!K73</f>
        <v>118</v>
      </c>
      <c r="I80" s="231">
        <f>'topprodukte-benzin-diesel'!F73</f>
        <v>22590</v>
      </c>
      <c r="J80" s="408">
        <f t="shared" si="8"/>
        <v>338.84999999999997</v>
      </c>
      <c r="K80" s="408">
        <f>J80*Eingabe!$C$48</f>
        <v>101.65499999999999</v>
      </c>
      <c r="L80" s="408" t="s">
        <v>3124</v>
      </c>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row>
    <row r="81" spans="1:39" s="211" customFormat="1" ht="13.6" x14ac:dyDescent="0.25">
      <c r="A81" s="407" t="str">
        <f>'topprodukte-benzin-diesel'!A74</f>
        <v>Hyundai</v>
      </c>
      <c r="B81" s="407" t="str">
        <f>'topprodukte-benzin-diesel'!B74</f>
        <v>Kona</v>
      </c>
      <c r="C81" s="407" t="str">
        <f t="shared" si="11"/>
        <v>Hyundai Kona - Diesel</v>
      </c>
      <c r="D81" s="407">
        <f>'topprodukte-benzin-diesel'!O74</f>
        <v>85</v>
      </c>
      <c r="E81" s="407" t="str">
        <f>'topprodukte-benzin-diesel'!J74</f>
        <v>Diesel</v>
      </c>
      <c r="F81" s="409">
        <f t="shared" si="10"/>
        <v>50.532499999999999</v>
      </c>
      <c r="G81" s="407">
        <f>'topprodukte-benzin-diesel'!I74</f>
        <v>5</v>
      </c>
      <c r="H81" s="407">
        <f>'topprodukte-benzin-diesel'!K74</f>
        <v>129</v>
      </c>
      <c r="I81" s="231">
        <f>'topprodukte-benzin-diesel'!F74</f>
        <v>22690</v>
      </c>
      <c r="J81" s="408">
        <f t="shared" si="8"/>
        <v>340.34999999999997</v>
      </c>
      <c r="K81" s="408">
        <f>J81*Eingabe!$C$48</f>
        <v>102.10499999999999</v>
      </c>
      <c r="L81" s="408" t="s">
        <v>3124</v>
      </c>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row>
    <row r="82" spans="1:39" s="211" customFormat="1" ht="13.6" x14ac:dyDescent="0.25">
      <c r="A82" s="407" t="str">
        <f>'topprodukte-benzin-diesel'!A75</f>
        <v>KIA</v>
      </c>
      <c r="B82" s="407" t="str">
        <f>'topprodukte-benzin-diesel'!B75</f>
        <v>Picanto</v>
      </c>
      <c r="C82" s="407" t="str">
        <f t="shared" si="11"/>
        <v>KIA Picanto - Benzin</v>
      </c>
      <c r="D82" s="407">
        <f>'topprodukte-benzin-diesel'!O75</f>
        <v>49</v>
      </c>
      <c r="E82" s="407" t="str">
        <f>'topprodukte-benzin-diesel'!J75</f>
        <v>Benzin</v>
      </c>
      <c r="F82" s="409">
        <f t="shared" si="10"/>
        <v>43.553999999999995</v>
      </c>
      <c r="G82" s="407">
        <f>'topprodukte-benzin-diesel'!I75</f>
        <v>5.0999999999999996</v>
      </c>
      <c r="H82" s="407">
        <f>'topprodukte-benzin-diesel'!K75</f>
        <v>116</v>
      </c>
      <c r="I82" s="231">
        <f>'topprodukte-benzin-diesel'!F75</f>
        <v>10190</v>
      </c>
      <c r="J82" s="408">
        <f t="shared" si="8"/>
        <v>152.85</v>
      </c>
      <c r="K82" s="408">
        <f>J82*Eingabe!$C$48</f>
        <v>45.854999999999997</v>
      </c>
      <c r="L82" s="408" t="s">
        <v>3124</v>
      </c>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row>
    <row r="83" spans="1:39" s="211" customFormat="1" ht="13.6" x14ac:dyDescent="0.25">
      <c r="A83" s="407" t="str">
        <f>'topprodukte-benzin-diesel'!A76</f>
        <v>KIA</v>
      </c>
      <c r="B83" s="407" t="str">
        <f>'topprodukte-benzin-diesel'!B76</f>
        <v>Rio</v>
      </c>
      <c r="C83" s="407" t="str">
        <f t="shared" si="11"/>
        <v>KIA Rio - Benzin</v>
      </c>
      <c r="D83" s="407">
        <f>'topprodukte-benzin-diesel'!O76</f>
        <v>74</v>
      </c>
      <c r="E83" s="407" t="str">
        <f>'topprodukte-benzin-diesel'!J76</f>
        <v>Benzin</v>
      </c>
      <c r="F83" s="409">
        <f t="shared" si="10"/>
        <v>46.97</v>
      </c>
      <c r="G83" s="407">
        <f>'topprodukte-benzin-diesel'!I76</f>
        <v>5.5</v>
      </c>
      <c r="H83" s="407">
        <f>'topprodukte-benzin-diesel'!K76</f>
        <v>126</v>
      </c>
      <c r="I83" s="231">
        <f>'topprodukte-benzin-diesel'!F76</f>
        <v>18090</v>
      </c>
      <c r="J83" s="408">
        <f t="shared" si="8"/>
        <v>271.34999999999997</v>
      </c>
      <c r="K83" s="408">
        <f>J83*Eingabe!$C$48</f>
        <v>81.404999999999987</v>
      </c>
      <c r="L83" s="408" t="s">
        <v>3124</v>
      </c>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row>
    <row r="84" spans="1:39" s="211" customFormat="1" ht="13.6" x14ac:dyDescent="0.25">
      <c r="A84" s="407" t="str">
        <f>'topprodukte-benzin-diesel'!A77</f>
        <v>KIA</v>
      </c>
      <c r="B84" s="407" t="str">
        <f>'topprodukte-benzin-diesel'!B77</f>
        <v>Ceed</v>
      </c>
      <c r="C84" s="407" t="str">
        <f t="shared" si="11"/>
        <v>KIA Ceed - Benzin</v>
      </c>
      <c r="D84" s="407">
        <f>'topprodukte-benzin-diesel'!O77</f>
        <v>74</v>
      </c>
      <c r="E84" s="407" t="str">
        <f>'topprodukte-benzin-diesel'!J77</f>
        <v>Benzin</v>
      </c>
      <c r="F84" s="409">
        <f t="shared" si="10"/>
        <v>47.823999999999991</v>
      </c>
      <c r="G84" s="407">
        <f>'topprodukte-benzin-diesel'!I77</f>
        <v>5.6</v>
      </c>
      <c r="H84" s="407">
        <f>'topprodukte-benzin-diesel'!K77</f>
        <v>126</v>
      </c>
      <c r="I84" s="231">
        <f>'topprodukte-benzin-diesel'!F77</f>
        <v>17790</v>
      </c>
      <c r="J84" s="408">
        <f t="shared" si="8"/>
        <v>266.84999999999997</v>
      </c>
      <c r="K84" s="408">
        <f>J84*Eingabe!$C$48</f>
        <v>80.054999999999993</v>
      </c>
      <c r="L84" s="408" t="s">
        <v>3124</v>
      </c>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row>
    <row r="85" spans="1:39" s="211" customFormat="1" ht="13.6" x14ac:dyDescent="0.25">
      <c r="A85" s="407" t="str">
        <f>'topprodukte-benzin-diesel'!A78</f>
        <v>KIA</v>
      </c>
      <c r="B85" s="407" t="str">
        <f>'topprodukte-benzin-diesel'!B78</f>
        <v>Ceed SW</v>
      </c>
      <c r="C85" s="407" t="str">
        <f t="shared" si="11"/>
        <v>KIA Ceed SW - Benzin</v>
      </c>
      <c r="D85" s="407">
        <f>'topprodukte-benzin-diesel'!O78</f>
        <v>74</v>
      </c>
      <c r="E85" s="407" t="str">
        <f>'topprodukte-benzin-diesel'!J78</f>
        <v>Benzin</v>
      </c>
      <c r="F85" s="409">
        <f>IF(E85="Benzin",$O$3*G85,$O$4*G85)</f>
        <v>47.823999999999991</v>
      </c>
      <c r="G85" s="407">
        <f>'topprodukte-benzin-diesel'!I78</f>
        <v>5.6</v>
      </c>
      <c r="H85" s="407">
        <f>'topprodukte-benzin-diesel'!K78</f>
        <v>127</v>
      </c>
      <c r="I85" s="231">
        <f>'topprodukte-benzin-diesel'!F78</f>
        <v>18990</v>
      </c>
      <c r="J85" s="408">
        <f t="shared" si="8"/>
        <v>284.84999999999997</v>
      </c>
      <c r="K85" s="408">
        <f>J85*Eingabe!$C$48</f>
        <v>85.454999999999984</v>
      </c>
      <c r="L85" s="408" t="s">
        <v>3124</v>
      </c>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row>
    <row r="86" spans="1:39" s="211" customFormat="1" ht="13.6" x14ac:dyDescent="0.25">
      <c r="A86" s="407" t="str">
        <f>'topprodukte-benzin-diesel'!A79</f>
        <v>KIA</v>
      </c>
      <c r="B86" s="407" t="str">
        <f>'topprodukte-benzin-diesel'!B79</f>
        <v>ceed SW</v>
      </c>
      <c r="C86" s="407" t="str">
        <f t="shared" si="11"/>
        <v>KIA ceed SW - Benzin</v>
      </c>
      <c r="D86" s="407">
        <f>'topprodukte-benzin-diesel'!O79</f>
        <v>85</v>
      </c>
      <c r="E86" s="407" t="str">
        <f>'topprodukte-benzin-diesel'!J79</f>
        <v>Benzin</v>
      </c>
      <c r="F86" s="409">
        <f>IF(E86="Benzin",$O$3*G86,$O$4*G86)</f>
        <v>39.283999999999992</v>
      </c>
      <c r="G86" s="407">
        <f>'topprodukte-benzin-diesel'!I79</f>
        <v>4.5999999999999996</v>
      </c>
      <c r="H86" s="407">
        <f>'topprodukte-benzin-diesel'!K79</f>
        <v>121</v>
      </c>
      <c r="I86" s="231">
        <f>'topprodukte-benzin-diesel'!F79</f>
        <v>22790</v>
      </c>
      <c r="J86" s="408">
        <f t="shared" si="8"/>
        <v>341.84999999999997</v>
      </c>
      <c r="K86" s="408">
        <f>J86*Eingabe!$C$48</f>
        <v>102.55499999999999</v>
      </c>
      <c r="L86" s="408" t="s">
        <v>3124</v>
      </c>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row>
    <row r="87" spans="1:39" s="211" customFormat="1" ht="13.6" x14ac:dyDescent="0.25">
      <c r="A87" s="407" t="str">
        <f>'topprodukte-benzin-diesel'!A80</f>
        <v>KIA</v>
      </c>
      <c r="B87" s="407" t="str">
        <f>'topprodukte-benzin-diesel'!B80</f>
        <v>Sportage</v>
      </c>
      <c r="C87" s="407" t="str">
        <f t="shared" si="11"/>
        <v>KIA Sportage - Benzin</v>
      </c>
      <c r="D87" s="407">
        <f>'topprodukte-benzin-diesel'!O80</f>
        <v>85</v>
      </c>
      <c r="E87" s="407" t="str">
        <f>'topprodukte-benzin-diesel'!J80</f>
        <v>Benzin</v>
      </c>
      <c r="F87" s="409">
        <f>IF(E87="Benzin",$O$3*G87,$O$4*G87)</f>
        <v>45.261999999999993</v>
      </c>
      <c r="G87" s="407">
        <f>'topprodukte-benzin-diesel'!I80</f>
        <v>5.3</v>
      </c>
      <c r="H87" s="407">
        <f>'topprodukte-benzin-diesel'!K80</f>
        <v>135</v>
      </c>
      <c r="I87" s="231">
        <f>'topprodukte-benzin-diesel'!F80</f>
        <v>31190</v>
      </c>
      <c r="J87" s="408">
        <f t="shared" si="8"/>
        <v>467.84999999999997</v>
      </c>
      <c r="K87" s="408">
        <f>J87*Eingabe!$C$48</f>
        <v>140.35499999999999</v>
      </c>
      <c r="L87" s="408" t="s">
        <v>3124</v>
      </c>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row>
    <row r="88" spans="1:39" s="211" customFormat="1" ht="13.6" x14ac:dyDescent="0.25">
      <c r="A88" s="407" t="str">
        <f>'topprodukte-benzin-diesel'!A81</f>
        <v>KIA</v>
      </c>
      <c r="B88" s="407" t="str">
        <f>'topprodukte-benzin-diesel'!B81</f>
        <v>ceed SW</v>
      </c>
      <c r="C88" s="407" t="str">
        <f t="shared" si="11"/>
        <v>KIA ceed SW - Diesel</v>
      </c>
      <c r="D88" s="407">
        <f>'topprodukte-benzin-diesel'!O81</f>
        <v>85</v>
      </c>
      <c r="E88" s="407" t="str">
        <f>'topprodukte-benzin-diesel'!J81</f>
        <v>Diesel</v>
      </c>
      <c r="F88" s="409">
        <v>39.4</v>
      </c>
      <c r="G88" s="407">
        <f>'topprodukte-benzin-diesel'!I81</f>
        <v>4.5999999999999996</v>
      </c>
      <c r="H88" s="407">
        <f>'topprodukte-benzin-diesel'!K81</f>
        <v>121</v>
      </c>
      <c r="I88" s="231">
        <f>'topprodukte-benzin-diesel'!F81</f>
        <v>22790</v>
      </c>
      <c r="J88" s="408">
        <f t="shared" si="8"/>
        <v>341.84999999999997</v>
      </c>
      <c r="K88" s="408">
        <f>J88*Eingabe!$C$48</f>
        <v>102.55499999999999</v>
      </c>
      <c r="L88" s="408" t="s">
        <v>3124</v>
      </c>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row>
    <row r="89" spans="1:39" s="211" customFormat="1" ht="13.6" x14ac:dyDescent="0.25">
      <c r="A89" s="407" t="str">
        <f>'topprodukte-benzin-diesel'!A82</f>
        <v>Mazda</v>
      </c>
      <c r="B89" s="407">
        <f>'topprodukte-benzin-diesel'!B82</f>
        <v>2</v>
      </c>
      <c r="C89" s="407" t="str">
        <f t="shared" si="11"/>
        <v>Mazda 2 - Benzin</v>
      </c>
      <c r="D89" s="407">
        <f>'topprodukte-benzin-diesel'!O82</f>
        <v>55</v>
      </c>
      <c r="E89" s="407" t="str">
        <f>'topprodukte-benzin-diesel'!J82</f>
        <v>Benzin</v>
      </c>
      <c r="F89" s="409">
        <f t="shared" ref="F89:F120" si="12">IF(E89="Benzin",$O$3*G89,$O$4*G89)</f>
        <v>45.261999999999993</v>
      </c>
      <c r="G89" s="407">
        <f>'topprodukte-benzin-diesel'!I82</f>
        <v>5.3</v>
      </c>
      <c r="H89" s="407">
        <f>'topprodukte-benzin-diesel'!K82</f>
        <v>120</v>
      </c>
      <c r="I89" s="231">
        <f>'topprodukte-benzin-diesel'!F82</f>
        <v>14690</v>
      </c>
      <c r="J89" s="408">
        <f t="shared" si="8"/>
        <v>220.35</v>
      </c>
      <c r="K89" s="408">
        <f>J89*Eingabe!$C$48</f>
        <v>66.10499999999999</v>
      </c>
      <c r="L89" s="408" t="s">
        <v>3124</v>
      </c>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row>
    <row r="90" spans="1:39" s="211" customFormat="1" ht="13.6" x14ac:dyDescent="0.25">
      <c r="A90" s="407" t="str">
        <f>'topprodukte-benzin-diesel'!A83</f>
        <v>Mercedes</v>
      </c>
      <c r="B90" s="407" t="str">
        <f>'topprodukte-benzin-diesel'!B83</f>
        <v>A-Klasse</v>
      </c>
      <c r="C90" s="407" t="str">
        <f t="shared" si="11"/>
        <v>Mercedes A-Klasse - Benzin</v>
      </c>
      <c r="D90" s="407">
        <f>'topprodukte-benzin-diesel'!O83</f>
        <v>100</v>
      </c>
      <c r="E90" s="407" t="str">
        <f>'topprodukte-benzin-diesel'!J83</f>
        <v>Benzin</v>
      </c>
      <c r="F90" s="409">
        <f t="shared" si="12"/>
        <v>50.385999999999996</v>
      </c>
      <c r="G90" s="407">
        <f>'topprodukte-benzin-diesel'!I83</f>
        <v>5.9</v>
      </c>
      <c r="H90" s="407">
        <f>'topprodukte-benzin-diesel'!K83</f>
        <v>133</v>
      </c>
      <c r="I90" s="231">
        <f>'topprodukte-benzin-diesel'!F83</f>
        <v>29670</v>
      </c>
      <c r="J90" s="408">
        <f t="shared" si="8"/>
        <v>445.05</v>
      </c>
      <c r="K90" s="408">
        <f>J90*Eingabe!$C$48</f>
        <v>133.51499999999999</v>
      </c>
      <c r="L90" s="408" t="s">
        <v>3124</v>
      </c>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row>
    <row r="91" spans="1:39" s="211" customFormat="1" ht="13.6" x14ac:dyDescent="0.25">
      <c r="A91" s="407" t="str">
        <f>'topprodukte-benzin-diesel'!A84</f>
        <v>Mercedes</v>
      </c>
      <c r="B91" s="407" t="str">
        <f>'topprodukte-benzin-diesel'!B84</f>
        <v>A-Klasse</v>
      </c>
      <c r="C91" s="407" t="str">
        <f t="shared" si="11"/>
        <v>Mercedes A-Klasse - Benzin</v>
      </c>
      <c r="D91" s="407">
        <f>'topprodukte-benzin-diesel'!O84</f>
        <v>70</v>
      </c>
      <c r="E91" s="407" t="str">
        <f>'topprodukte-benzin-diesel'!J84</f>
        <v>Benzin</v>
      </c>
      <c r="F91" s="409">
        <f t="shared" si="12"/>
        <v>38.429999999999993</v>
      </c>
      <c r="G91" s="407">
        <f>'topprodukte-benzin-diesel'!I84</f>
        <v>4.5</v>
      </c>
      <c r="H91" s="407">
        <f>'topprodukte-benzin-diesel'!K84</f>
        <v>118</v>
      </c>
      <c r="I91" s="231">
        <f>'topprodukte-benzin-diesel'!F84</f>
        <v>29590</v>
      </c>
      <c r="J91" s="408">
        <f t="shared" si="8"/>
        <v>443.84999999999997</v>
      </c>
      <c r="K91" s="408">
        <f>J91*Eingabe!$C$48</f>
        <v>133.15499999999997</v>
      </c>
      <c r="L91" s="408" t="s">
        <v>3124</v>
      </c>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row>
    <row r="92" spans="1:39" s="211" customFormat="1" ht="13.6" x14ac:dyDescent="0.25">
      <c r="A92" s="407" t="str">
        <f>'topprodukte-benzin-diesel'!A85</f>
        <v>Mercedes</v>
      </c>
      <c r="B92" s="407" t="str">
        <f>'topprodukte-benzin-diesel'!B85</f>
        <v>CLA-Klasse</v>
      </c>
      <c r="C92" s="407" t="str">
        <f t="shared" si="11"/>
        <v>Mercedes CLA-Klasse - Benzin</v>
      </c>
      <c r="D92" s="407">
        <f>'topprodukte-benzin-diesel'!O85</f>
        <v>85</v>
      </c>
      <c r="E92" s="407" t="str">
        <f>'topprodukte-benzin-diesel'!J85</f>
        <v>Benzin</v>
      </c>
      <c r="F92" s="409">
        <f t="shared" si="12"/>
        <v>38.429999999999993</v>
      </c>
      <c r="G92" s="407">
        <f>'topprodukte-benzin-diesel'!I85</f>
        <v>4.5</v>
      </c>
      <c r="H92" s="407">
        <f>'topprodukte-benzin-diesel'!K85</f>
        <v>118</v>
      </c>
      <c r="I92" s="231">
        <f>'topprodukte-benzin-diesel'!F85</f>
        <v>35460</v>
      </c>
      <c r="J92" s="408">
        <f t="shared" si="8"/>
        <v>531.9</v>
      </c>
      <c r="K92" s="408">
        <f>J92*Eingabe!$C$48</f>
        <v>159.57</v>
      </c>
      <c r="L92" s="408" t="s">
        <v>3124</v>
      </c>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row>
    <row r="93" spans="1:39" s="211" customFormat="1" ht="13.6" x14ac:dyDescent="0.25">
      <c r="A93" s="407" t="str">
        <f>'topprodukte-benzin-diesel'!A86</f>
        <v>Mercedes</v>
      </c>
      <c r="B93" s="407" t="str">
        <f>'topprodukte-benzin-diesel'!B86</f>
        <v>C-Klasse</v>
      </c>
      <c r="C93" s="407" t="str">
        <f t="shared" si="11"/>
        <v>Mercedes C-Klasse - Benzin</v>
      </c>
      <c r="D93" s="407">
        <f>'topprodukte-benzin-diesel'!O86</f>
        <v>118</v>
      </c>
      <c r="E93" s="407" t="str">
        <f>'topprodukte-benzin-diesel'!J86</f>
        <v>Benzin</v>
      </c>
      <c r="F93" s="409">
        <f t="shared" si="12"/>
        <v>40.991999999999997</v>
      </c>
      <c r="G93" s="407">
        <f>'topprodukte-benzin-diesel'!I86</f>
        <v>4.8</v>
      </c>
      <c r="H93" s="407">
        <f>'topprodukte-benzin-diesel'!K86</f>
        <v>127</v>
      </c>
      <c r="I93" s="231">
        <f>'topprodukte-benzin-diesel'!F86</f>
        <v>40470</v>
      </c>
      <c r="J93" s="408">
        <f t="shared" si="8"/>
        <v>607.04999999999995</v>
      </c>
      <c r="K93" s="408">
        <f>J93*Eingabe!$C$48</f>
        <v>182.11499999999998</v>
      </c>
      <c r="L93" s="408" t="s">
        <v>3124</v>
      </c>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row>
    <row r="94" spans="1:39" s="211" customFormat="1" ht="13.6" x14ac:dyDescent="0.25">
      <c r="A94" s="407" t="str">
        <f>'topprodukte-benzin-diesel'!A87</f>
        <v>Mercedes</v>
      </c>
      <c r="B94" s="407" t="str">
        <f>'topprodukte-benzin-diesel'!B87</f>
        <v>A-Klasse</v>
      </c>
      <c r="C94" s="407" t="str">
        <f t="shared" si="11"/>
        <v>Mercedes A-Klasse - Diesel</v>
      </c>
      <c r="D94" s="407">
        <f>'topprodukte-benzin-diesel'!O87</f>
        <v>70</v>
      </c>
      <c r="E94" s="407" t="str">
        <f>'topprodukte-benzin-diesel'!J87</f>
        <v>Diesel</v>
      </c>
      <c r="F94" s="409">
        <f t="shared" si="12"/>
        <v>45.47925</v>
      </c>
      <c r="G94" s="407">
        <f>'topprodukte-benzin-diesel'!I87</f>
        <v>4.5</v>
      </c>
      <c r="H94" s="407">
        <f>'topprodukte-benzin-diesel'!K87</f>
        <v>118</v>
      </c>
      <c r="I94" s="231">
        <f>'topprodukte-benzin-diesel'!F87</f>
        <v>29590</v>
      </c>
      <c r="J94" s="408">
        <f t="shared" si="8"/>
        <v>443.84999999999997</v>
      </c>
      <c r="K94" s="408">
        <f>J94*Eingabe!$C$48</f>
        <v>133.15499999999997</v>
      </c>
      <c r="L94" s="408" t="s">
        <v>3124</v>
      </c>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row>
    <row r="95" spans="1:39" s="211" customFormat="1" ht="13.6" x14ac:dyDescent="0.25">
      <c r="A95" s="407" t="str">
        <f>'topprodukte-benzin-diesel'!A88</f>
        <v>Mercedes</v>
      </c>
      <c r="B95" s="407" t="str">
        <f>'topprodukte-benzin-diesel'!B88</f>
        <v>CLA-Klasse</v>
      </c>
      <c r="C95" s="407" t="str">
        <f t="shared" si="11"/>
        <v>Mercedes CLA-Klasse - Diesel</v>
      </c>
      <c r="D95" s="407">
        <f>'topprodukte-benzin-diesel'!O88</f>
        <v>85</v>
      </c>
      <c r="E95" s="407" t="str">
        <f>'topprodukte-benzin-diesel'!J88</f>
        <v>Diesel</v>
      </c>
      <c r="F95" s="409">
        <f t="shared" si="12"/>
        <v>45.47925</v>
      </c>
      <c r="G95" s="407">
        <f>'topprodukte-benzin-diesel'!I88</f>
        <v>4.5</v>
      </c>
      <c r="H95" s="407">
        <f>'topprodukte-benzin-diesel'!K88</f>
        <v>118</v>
      </c>
      <c r="I95" s="231">
        <f>'topprodukte-benzin-diesel'!F88</f>
        <v>35460</v>
      </c>
      <c r="J95" s="408">
        <f t="shared" si="8"/>
        <v>531.9</v>
      </c>
      <c r="K95" s="408">
        <f>J95*Eingabe!$C$48</f>
        <v>159.57</v>
      </c>
      <c r="L95" s="408" t="s">
        <v>3124</v>
      </c>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row>
    <row r="96" spans="1:39" s="211" customFormat="1" ht="13.6" x14ac:dyDescent="0.25">
      <c r="A96" s="407" t="str">
        <f>'topprodukte-benzin-diesel'!A89</f>
        <v>Mercedes</v>
      </c>
      <c r="B96" s="407" t="str">
        <f>'topprodukte-benzin-diesel'!B89</f>
        <v>C-Klasse</v>
      </c>
      <c r="C96" s="407" t="str">
        <f t="shared" si="11"/>
        <v>Mercedes C-Klasse - Diesel</v>
      </c>
      <c r="D96" s="407">
        <f>'topprodukte-benzin-diesel'!O89</f>
        <v>118</v>
      </c>
      <c r="E96" s="407" t="str">
        <f>'topprodukte-benzin-diesel'!J89</f>
        <v>Diesel</v>
      </c>
      <c r="F96" s="409">
        <f t="shared" si="12"/>
        <v>48.511200000000002</v>
      </c>
      <c r="G96" s="407">
        <f>'topprodukte-benzin-diesel'!I89</f>
        <v>4.8</v>
      </c>
      <c r="H96" s="407">
        <f>'topprodukte-benzin-diesel'!K89</f>
        <v>127</v>
      </c>
      <c r="I96" s="231">
        <f>'topprodukte-benzin-diesel'!F89</f>
        <v>40470</v>
      </c>
      <c r="J96" s="408">
        <f t="shared" si="8"/>
        <v>607.04999999999995</v>
      </c>
      <c r="K96" s="408">
        <f>J96*Eingabe!$C$48</f>
        <v>182.11499999999998</v>
      </c>
      <c r="L96" s="408" t="s">
        <v>3124</v>
      </c>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row>
    <row r="97" spans="1:39" s="211" customFormat="1" ht="13.6" x14ac:dyDescent="0.25">
      <c r="A97" s="407" t="str">
        <f>'topprodukte-benzin-diesel'!A90</f>
        <v>Mini</v>
      </c>
      <c r="B97" s="407" t="str">
        <f>'topprodukte-benzin-diesel'!B90</f>
        <v>Mini 3-Türer</v>
      </c>
      <c r="C97" s="407" t="str">
        <f t="shared" si="11"/>
        <v>Mini Mini 3-Türer - Benzin</v>
      </c>
      <c r="D97" s="407">
        <f>'topprodukte-benzin-diesel'!O90</f>
        <v>55</v>
      </c>
      <c r="E97" s="407" t="str">
        <f>'topprodukte-benzin-diesel'!J90</f>
        <v>Benzin</v>
      </c>
      <c r="F97" s="409">
        <f t="shared" si="12"/>
        <v>49.531999999999996</v>
      </c>
      <c r="G97" s="407">
        <f>'topprodukte-benzin-diesel'!I90</f>
        <v>5.8</v>
      </c>
      <c r="H97" s="407">
        <f>'topprodukte-benzin-diesel'!K90</f>
        <v>133</v>
      </c>
      <c r="I97" s="231">
        <f>'topprodukte-benzin-diesel'!F90</f>
        <v>19750</v>
      </c>
      <c r="J97" s="408">
        <f t="shared" si="8"/>
        <v>296.25</v>
      </c>
      <c r="K97" s="408">
        <f>J97*Eingabe!$C$48</f>
        <v>88.875</v>
      </c>
      <c r="L97" s="408" t="s">
        <v>3124</v>
      </c>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row>
    <row r="98" spans="1:39" s="211" customFormat="1" ht="13.6" x14ac:dyDescent="0.25">
      <c r="A98" s="407" t="str">
        <f>'topprodukte-benzin-diesel'!A91</f>
        <v>Mini</v>
      </c>
      <c r="B98" s="407" t="str">
        <f>'topprodukte-benzin-diesel'!B91</f>
        <v>Countryman</v>
      </c>
      <c r="C98" s="407" t="str">
        <f t="shared" si="11"/>
        <v>Mini Countryman - Benzin</v>
      </c>
      <c r="D98" s="407">
        <f>'topprodukte-benzin-diesel'!O91</f>
        <v>85</v>
      </c>
      <c r="E98" s="407" t="str">
        <f>'topprodukte-benzin-diesel'!J91</f>
        <v>Benzin</v>
      </c>
      <c r="F98" s="409">
        <f t="shared" si="12"/>
        <v>41.845999999999997</v>
      </c>
      <c r="G98" s="407">
        <f>'topprodukte-benzin-diesel'!I91</f>
        <v>4.9000000000000004</v>
      </c>
      <c r="H98" s="407">
        <f>'topprodukte-benzin-diesel'!K91</f>
        <v>129</v>
      </c>
      <c r="I98" s="231">
        <f>'topprodukte-benzin-diesel'!F91</f>
        <v>28500</v>
      </c>
      <c r="J98" s="408">
        <f t="shared" si="8"/>
        <v>427.5</v>
      </c>
      <c r="K98" s="408">
        <f>J98*Eingabe!$C$48</f>
        <v>128.25</v>
      </c>
      <c r="L98" s="408" t="s">
        <v>3124</v>
      </c>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row>
    <row r="99" spans="1:39" s="211" customFormat="1" ht="13.6" x14ac:dyDescent="0.25">
      <c r="A99" s="407" t="str">
        <f>'topprodukte-benzin-diesel'!A92</f>
        <v>Mini</v>
      </c>
      <c r="B99" s="407" t="str">
        <f>'topprodukte-benzin-diesel'!B92</f>
        <v>Countryman</v>
      </c>
      <c r="C99" s="407" t="str">
        <f t="shared" si="11"/>
        <v>Mini Countryman - Diesel</v>
      </c>
      <c r="D99" s="407">
        <f>'topprodukte-benzin-diesel'!O92</f>
        <v>85</v>
      </c>
      <c r="E99" s="407" t="str">
        <f>'topprodukte-benzin-diesel'!J92</f>
        <v>Diesel</v>
      </c>
      <c r="F99" s="409">
        <f t="shared" si="12"/>
        <v>49.521850000000008</v>
      </c>
      <c r="G99" s="407">
        <f>'topprodukte-benzin-diesel'!I92</f>
        <v>4.9000000000000004</v>
      </c>
      <c r="H99" s="407">
        <f>'topprodukte-benzin-diesel'!K92</f>
        <v>129</v>
      </c>
      <c r="I99" s="231">
        <f>'topprodukte-benzin-diesel'!F92</f>
        <v>28500</v>
      </c>
      <c r="J99" s="408">
        <f t="shared" si="8"/>
        <v>427.5</v>
      </c>
      <c r="K99" s="408">
        <f>J99*Eingabe!$C$48</f>
        <v>128.25</v>
      </c>
      <c r="L99" s="408" t="s">
        <v>3124</v>
      </c>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row>
    <row r="100" spans="1:39" s="211" customFormat="1" ht="13.6" x14ac:dyDescent="0.25">
      <c r="A100" s="407" t="str">
        <f>'topprodukte-benzin-diesel'!A93</f>
        <v>MItsubishi</v>
      </c>
      <c r="B100" s="407" t="str">
        <f>'topprodukte-benzin-diesel'!B93</f>
        <v>Space Star</v>
      </c>
      <c r="C100" s="407" t="str">
        <f t="shared" si="11"/>
        <v>MItsubishi Space Star - Benzin</v>
      </c>
      <c r="D100" s="407">
        <f>'topprodukte-benzin-diesel'!O93</f>
        <v>52</v>
      </c>
      <c r="E100" s="407" t="str">
        <f>'topprodukte-benzin-diesel'!J93</f>
        <v>Benzin</v>
      </c>
      <c r="F100" s="409">
        <f t="shared" si="12"/>
        <v>43.553999999999995</v>
      </c>
      <c r="G100" s="407">
        <f>'topprodukte-benzin-diesel'!I93</f>
        <v>5.0999999999999996</v>
      </c>
      <c r="H100" s="407">
        <f>'topprodukte-benzin-diesel'!K93</f>
        <v>115</v>
      </c>
      <c r="I100" s="231">
        <f>'topprodukte-benzin-diesel'!F93</f>
        <v>12990</v>
      </c>
      <c r="J100" s="408">
        <f t="shared" si="8"/>
        <v>194.85</v>
      </c>
      <c r="K100" s="408">
        <f>J100*Eingabe!$C$48</f>
        <v>58.454999999999998</v>
      </c>
      <c r="L100" s="408" t="s">
        <v>3124</v>
      </c>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row>
    <row r="101" spans="1:39" s="211" customFormat="1" ht="13.6" x14ac:dyDescent="0.25">
      <c r="A101" s="407" t="str">
        <f>'topprodukte-benzin-diesel'!A94</f>
        <v>Nissan</v>
      </c>
      <c r="B101" s="407" t="str">
        <f>'topprodukte-benzin-diesel'!B94</f>
        <v>Micra</v>
      </c>
      <c r="C101" s="407" t="str">
        <f t="shared" si="11"/>
        <v>Nissan Micra - Benzin</v>
      </c>
      <c r="D101" s="407">
        <f>'topprodukte-benzin-diesel'!O94</f>
        <v>74</v>
      </c>
      <c r="E101" s="407" t="str">
        <f>'topprodukte-benzin-diesel'!J94</f>
        <v>Benzin</v>
      </c>
      <c r="F101" s="409">
        <f t="shared" si="12"/>
        <v>47.823999999999991</v>
      </c>
      <c r="G101" s="407">
        <f>'topprodukte-benzin-diesel'!I94</f>
        <v>5.6</v>
      </c>
      <c r="H101" s="407">
        <f>'topprodukte-benzin-diesel'!K94</f>
        <v>126</v>
      </c>
      <c r="I101" s="231">
        <f>'topprodukte-benzin-diesel'!F94</f>
        <v>15090</v>
      </c>
      <c r="J101" s="408">
        <f t="shared" ref="J101:J202" si="13">IF(H101&gt;$U$4,IF(I101*0.02&gt;960,960,I101*0.02),IF(H101&gt;0,IF(I101*0.015&gt;720,720,I101*0.015),0))</f>
        <v>226.35</v>
      </c>
      <c r="K101" s="408">
        <f>J101*Eingabe!$C$48</f>
        <v>67.905000000000001</v>
      </c>
      <c r="L101" s="408" t="s">
        <v>3124</v>
      </c>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row>
    <row r="102" spans="1:39" s="211" customFormat="1" ht="13.6" x14ac:dyDescent="0.25">
      <c r="A102" s="407" t="str">
        <f>'topprodukte-benzin-diesel'!A95</f>
        <v>Nissan</v>
      </c>
      <c r="B102" s="407" t="str">
        <f>'topprodukte-benzin-diesel'!B95</f>
        <v>Juke</v>
      </c>
      <c r="C102" s="407" t="str">
        <f t="shared" si="11"/>
        <v>Nissan Juke - Benzin</v>
      </c>
      <c r="D102" s="407">
        <f>'topprodukte-benzin-diesel'!O95</f>
        <v>86</v>
      </c>
      <c r="E102" s="407" t="str">
        <f>'topprodukte-benzin-diesel'!J95</f>
        <v>Benzin</v>
      </c>
      <c r="F102" s="409">
        <f t="shared" si="12"/>
        <v>50.385999999999996</v>
      </c>
      <c r="G102" s="407">
        <f>'topprodukte-benzin-diesel'!I95</f>
        <v>5.9</v>
      </c>
      <c r="H102" s="407">
        <f>'topprodukte-benzin-diesel'!K95</f>
        <v>135</v>
      </c>
      <c r="I102" s="231">
        <f>'topprodukte-benzin-diesel'!F95</f>
        <v>19600</v>
      </c>
      <c r="J102" s="408">
        <f t="shared" si="13"/>
        <v>294</v>
      </c>
      <c r="K102" s="408">
        <f>J102*Eingabe!$C$48</f>
        <v>88.2</v>
      </c>
      <c r="L102" s="408" t="s">
        <v>3124</v>
      </c>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row>
    <row r="103" spans="1:39" s="211" customFormat="1" ht="13.6" x14ac:dyDescent="0.25">
      <c r="A103" s="407" t="str">
        <f>'topprodukte-benzin-diesel'!A96</f>
        <v>Opel</v>
      </c>
      <c r="B103" s="407" t="str">
        <f>'topprodukte-benzin-diesel'!B96</f>
        <v>Astra</v>
      </c>
      <c r="C103" s="407" t="str">
        <f t="shared" si="11"/>
        <v>Opel Astra - Benzin</v>
      </c>
      <c r="D103" s="407">
        <f>'topprodukte-benzin-diesel'!O96</f>
        <v>81</v>
      </c>
      <c r="E103" s="407" t="str">
        <f>'topprodukte-benzin-diesel'!J96</f>
        <v>Benzin</v>
      </c>
      <c r="F103" s="409">
        <f t="shared" si="12"/>
        <v>44.407999999999994</v>
      </c>
      <c r="G103" s="407">
        <f>'topprodukte-benzin-diesel'!I96</f>
        <v>5.2</v>
      </c>
      <c r="H103" s="407">
        <f>'topprodukte-benzin-diesel'!K96</f>
        <v>119</v>
      </c>
      <c r="I103" s="231">
        <f>'topprodukte-benzin-diesel'!F96</f>
        <v>21739</v>
      </c>
      <c r="J103" s="408">
        <f t="shared" si="13"/>
        <v>326.08499999999998</v>
      </c>
      <c r="K103" s="408">
        <f>J103*Eingabe!$C$48</f>
        <v>97.825499999999991</v>
      </c>
      <c r="L103" s="408" t="s">
        <v>3124</v>
      </c>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row>
    <row r="104" spans="1:39" s="211" customFormat="1" ht="13.6" x14ac:dyDescent="0.25">
      <c r="A104" s="407" t="str">
        <f>'topprodukte-benzin-diesel'!A97</f>
        <v>Opel</v>
      </c>
      <c r="B104" s="407" t="str">
        <f>'topprodukte-benzin-diesel'!B97</f>
        <v>Corsa</v>
      </c>
      <c r="C104" s="407" t="str">
        <f t="shared" si="11"/>
        <v>Opel Corsa - Benzin</v>
      </c>
      <c r="D104" s="407">
        <f>'topprodukte-benzin-diesel'!O97</f>
        <v>55</v>
      </c>
      <c r="E104" s="407" t="str">
        <f>'topprodukte-benzin-diesel'!J97</f>
        <v>Benzin</v>
      </c>
      <c r="F104" s="409">
        <f t="shared" si="12"/>
        <v>46.116</v>
      </c>
      <c r="G104" s="407">
        <f>'topprodukte-benzin-diesel'!I97</f>
        <v>5.4</v>
      </c>
      <c r="H104" s="407">
        <f>'topprodukte-benzin-diesel'!K97</f>
        <v>123</v>
      </c>
      <c r="I104" s="231">
        <f>'topprodukte-benzin-diesel'!F97</f>
        <v>14999</v>
      </c>
      <c r="J104" s="408">
        <f t="shared" si="13"/>
        <v>224.98499999999999</v>
      </c>
      <c r="K104" s="408">
        <f>J104*Eingabe!$C$48</f>
        <v>67.495499999999993</v>
      </c>
      <c r="L104" s="408" t="s">
        <v>3124</v>
      </c>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row>
    <row r="105" spans="1:39" s="211" customFormat="1" ht="13.6" x14ac:dyDescent="0.25">
      <c r="A105" s="407" t="str">
        <f>'topprodukte-benzin-diesel'!A98</f>
        <v>Opel</v>
      </c>
      <c r="B105" s="407" t="str">
        <f>'topprodukte-benzin-diesel'!B98</f>
        <v>Astra ST</v>
      </c>
      <c r="C105" s="407" t="str">
        <f t="shared" si="11"/>
        <v>Opel Astra ST - Benzin</v>
      </c>
      <c r="D105" s="407">
        <f>'topprodukte-benzin-diesel'!O98</f>
        <v>81</v>
      </c>
      <c r="E105" s="407" t="str">
        <f>'topprodukte-benzin-diesel'!J98</f>
        <v>Benzin</v>
      </c>
      <c r="F105" s="409">
        <f t="shared" si="12"/>
        <v>46.116</v>
      </c>
      <c r="G105" s="407">
        <f>'topprodukte-benzin-diesel'!I98</f>
        <v>5.4</v>
      </c>
      <c r="H105" s="407">
        <f>'topprodukte-benzin-diesel'!K98</f>
        <v>122</v>
      </c>
      <c r="I105" s="231">
        <f>'topprodukte-benzin-diesel'!F98</f>
        <v>23339</v>
      </c>
      <c r="J105" s="408">
        <f t="shared" si="13"/>
        <v>350.08499999999998</v>
      </c>
      <c r="K105" s="408">
        <f>J105*Eingabe!$C$48</f>
        <v>105.02549999999999</v>
      </c>
      <c r="L105" s="408" t="s">
        <v>3124</v>
      </c>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row>
    <row r="106" spans="1:39" s="211" customFormat="1" ht="13.6" x14ac:dyDescent="0.25">
      <c r="A106" s="407" t="str">
        <f>'topprodukte-benzin-diesel'!A99</f>
        <v>Opel</v>
      </c>
      <c r="B106" s="407" t="str">
        <f>'topprodukte-benzin-diesel'!B99</f>
        <v>Insignia</v>
      </c>
      <c r="C106" s="407" t="str">
        <f t="shared" si="11"/>
        <v>Opel Insignia - Benzin</v>
      </c>
      <c r="D106" s="407">
        <f>'topprodukte-benzin-diesel'!O99</f>
        <v>103</v>
      </c>
      <c r="E106" s="407" t="str">
        <f>'topprodukte-benzin-diesel'!J99</f>
        <v>Benzin</v>
      </c>
      <c r="F106" s="409">
        <f t="shared" si="12"/>
        <v>52.093999999999994</v>
      </c>
      <c r="G106" s="407">
        <f>'topprodukte-benzin-diesel'!I99</f>
        <v>6.1</v>
      </c>
      <c r="H106" s="407">
        <f>'topprodukte-benzin-diesel'!K99</f>
        <v>138</v>
      </c>
      <c r="I106" s="231">
        <f>'topprodukte-benzin-diesel'!F99</f>
        <v>30730</v>
      </c>
      <c r="J106" s="408">
        <f t="shared" si="13"/>
        <v>460.95</v>
      </c>
      <c r="K106" s="408">
        <f>J106*Eingabe!$C$48</f>
        <v>138.285</v>
      </c>
      <c r="L106" s="408" t="s">
        <v>3124</v>
      </c>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row>
    <row r="107" spans="1:39" s="211" customFormat="1" ht="13.6" x14ac:dyDescent="0.25">
      <c r="A107" s="407" t="str">
        <f>'topprodukte-benzin-diesel'!A100</f>
        <v>Opel</v>
      </c>
      <c r="B107" s="407" t="str">
        <f>'topprodukte-benzin-diesel'!B100</f>
        <v>Crossland X</v>
      </c>
      <c r="C107" s="407" t="str">
        <f t="shared" si="11"/>
        <v>Opel Crossland X - Benzin</v>
      </c>
      <c r="D107" s="407">
        <f>'topprodukte-benzin-diesel'!O100</f>
        <v>60</v>
      </c>
      <c r="E107" s="407" t="str">
        <f>'topprodukte-benzin-diesel'!J100</f>
        <v>Benzin</v>
      </c>
      <c r="F107" s="409">
        <f t="shared" si="12"/>
        <v>52.947999999999993</v>
      </c>
      <c r="G107" s="407">
        <f>'topprodukte-benzin-diesel'!I100</f>
        <v>6.2</v>
      </c>
      <c r="H107" s="407">
        <f>'topprodukte-benzin-diesel'!K100</f>
        <v>139</v>
      </c>
      <c r="I107" s="231">
        <f>'topprodukte-benzin-diesel'!F100</f>
        <v>19839</v>
      </c>
      <c r="J107" s="408">
        <f t="shared" si="13"/>
        <v>396.78000000000003</v>
      </c>
      <c r="K107" s="408">
        <f>J107*Eingabe!$C$48</f>
        <v>119.03400000000001</v>
      </c>
      <c r="L107" s="408" t="s">
        <v>3124</v>
      </c>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row>
    <row r="108" spans="1:39" s="211" customFormat="1" ht="13.6" x14ac:dyDescent="0.25">
      <c r="A108" s="407" t="str">
        <f>'topprodukte-benzin-diesel'!A101</f>
        <v>Opel</v>
      </c>
      <c r="B108" s="407" t="str">
        <f>'topprodukte-benzin-diesel'!B101</f>
        <v>Grandland X</v>
      </c>
      <c r="C108" s="407" t="str">
        <f t="shared" si="11"/>
        <v>Opel Grandland X - Benzin</v>
      </c>
      <c r="D108" s="407">
        <f>'topprodukte-benzin-diesel'!O101</f>
        <v>96</v>
      </c>
      <c r="E108" s="407" t="str">
        <f>'topprodukte-benzin-diesel'!J101</f>
        <v>Benzin</v>
      </c>
      <c r="F108" s="409">
        <f t="shared" si="12"/>
        <v>54.655999999999999</v>
      </c>
      <c r="G108" s="407">
        <f>'topprodukte-benzin-diesel'!I101</f>
        <v>6.4</v>
      </c>
      <c r="H108" s="407">
        <f>'topprodukte-benzin-diesel'!K101</f>
        <v>145</v>
      </c>
      <c r="I108" s="231">
        <f>'topprodukte-benzin-diesel'!F101</f>
        <v>26729</v>
      </c>
      <c r="J108" s="408">
        <f t="shared" si="13"/>
        <v>534.58000000000004</v>
      </c>
      <c r="K108" s="408">
        <f>J108*Eingabe!$C$48</f>
        <v>160.374</v>
      </c>
      <c r="L108" s="408" t="s">
        <v>3124</v>
      </c>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row>
    <row r="109" spans="1:39" s="211" customFormat="1" ht="13.6" x14ac:dyDescent="0.25">
      <c r="A109" s="407" t="str">
        <f>'topprodukte-benzin-diesel'!A102</f>
        <v>Opel</v>
      </c>
      <c r="B109" s="407" t="str">
        <f>'topprodukte-benzin-diesel'!B102</f>
        <v>Corsa</v>
      </c>
      <c r="C109" s="407" t="str">
        <f t="shared" si="11"/>
        <v>Opel Corsa - Benzin</v>
      </c>
      <c r="D109" s="407">
        <f>'topprodukte-benzin-diesel'!O102</f>
        <v>75</v>
      </c>
      <c r="E109" s="407" t="str">
        <f>'topprodukte-benzin-diesel'!J102</f>
        <v>Benzin</v>
      </c>
      <c r="F109" s="409">
        <f t="shared" si="12"/>
        <v>35.013999999999996</v>
      </c>
      <c r="G109" s="407">
        <f>'topprodukte-benzin-diesel'!I102</f>
        <v>4.0999999999999996</v>
      </c>
      <c r="H109" s="407">
        <f>'topprodukte-benzin-diesel'!K102</f>
        <v>107</v>
      </c>
      <c r="I109" s="231">
        <f>'topprodukte-benzin-diesel'!F102</f>
        <v>20389</v>
      </c>
      <c r="J109" s="408">
        <f t="shared" si="13"/>
        <v>305.83499999999998</v>
      </c>
      <c r="K109" s="408">
        <f>J109*Eingabe!$C$48</f>
        <v>91.750499999999988</v>
      </c>
      <c r="L109" s="408" t="s">
        <v>3124</v>
      </c>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row>
    <row r="110" spans="1:39" s="211" customFormat="1" ht="13.6" x14ac:dyDescent="0.25">
      <c r="A110" s="407" t="str">
        <f>'topprodukte-benzin-diesel'!A103</f>
        <v>Opel</v>
      </c>
      <c r="B110" s="407" t="str">
        <f>'topprodukte-benzin-diesel'!B103</f>
        <v>Astra</v>
      </c>
      <c r="C110" s="407" t="str">
        <f t="shared" si="11"/>
        <v>Opel Astra - Benzin</v>
      </c>
      <c r="D110" s="407">
        <f>'topprodukte-benzin-diesel'!O103</f>
        <v>77</v>
      </c>
      <c r="E110" s="407" t="str">
        <f>'topprodukte-benzin-diesel'!J103</f>
        <v>Benzin</v>
      </c>
      <c r="F110" s="409">
        <f t="shared" si="12"/>
        <v>36.721999999999994</v>
      </c>
      <c r="G110" s="407">
        <f>'topprodukte-benzin-diesel'!I103</f>
        <v>4.3</v>
      </c>
      <c r="H110" s="407">
        <f>'topprodukte-benzin-diesel'!K103</f>
        <v>112</v>
      </c>
      <c r="I110" s="231">
        <f>'topprodukte-benzin-diesel'!F103</f>
        <v>23739</v>
      </c>
      <c r="J110" s="408">
        <f t="shared" si="13"/>
        <v>356.08499999999998</v>
      </c>
      <c r="K110" s="408">
        <f>J110*Eingabe!$C$48</f>
        <v>106.82549999999999</v>
      </c>
      <c r="L110" s="408" t="s">
        <v>3124</v>
      </c>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row>
    <row r="111" spans="1:39" s="211" customFormat="1" ht="13.6" x14ac:dyDescent="0.25">
      <c r="A111" s="407" t="str">
        <f>'topprodukte-benzin-diesel'!A104</f>
        <v>Opel</v>
      </c>
      <c r="B111" s="407" t="str">
        <f>'topprodukte-benzin-diesel'!B104</f>
        <v>Astra Sports Tourer</v>
      </c>
      <c r="C111" s="407" t="str">
        <f t="shared" si="11"/>
        <v>Opel Astra Sports Tourer - Benzin</v>
      </c>
      <c r="D111" s="407">
        <f>'topprodukte-benzin-diesel'!O104</f>
        <v>77</v>
      </c>
      <c r="E111" s="407" t="str">
        <f>'topprodukte-benzin-diesel'!J104</f>
        <v>Benzin</v>
      </c>
      <c r="F111" s="409">
        <f t="shared" si="12"/>
        <v>36.721999999999994</v>
      </c>
      <c r="G111" s="407">
        <f>'topprodukte-benzin-diesel'!I104</f>
        <v>4.3</v>
      </c>
      <c r="H111" s="407">
        <f>'topprodukte-benzin-diesel'!K104</f>
        <v>113</v>
      </c>
      <c r="I111" s="231">
        <f>'topprodukte-benzin-diesel'!F104</f>
        <v>25339</v>
      </c>
      <c r="J111" s="408">
        <f t="shared" si="13"/>
        <v>380.08499999999998</v>
      </c>
      <c r="K111" s="408">
        <f>J111*Eingabe!$C$48</f>
        <v>114.02549999999999</v>
      </c>
      <c r="L111" s="408" t="s">
        <v>3124</v>
      </c>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row>
    <row r="112" spans="1:39" s="211" customFormat="1" ht="13.6" x14ac:dyDescent="0.25">
      <c r="A112" s="407" t="str">
        <f>'topprodukte-benzin-diesel'!A105</f>
        <v>Opel</v>
      </c>
      <c r="B112" s="407" t="str">
        <f>'topprodukte-benzin-diesel'!B105</f>
        <v xml:space="preserve">Insignia </v>
      </c>
      <c r="C112" s="407" t="str">
        <f t="shared" si="11"/>
        <v>Opel Insignia  - Benzin</v>
      </c>
      <c r="D112" s="407">
        <f>'topprodukte-benzin-diesel'!O105</f>
        <v>90</v>
      </c>
      <c r="E112" s="407" t="str">
        <f>'topprodukte-benzin-diesel'!J105</f>
        <v>Benzin</v>
      </c>
      <c r="F112" s="409">
        <f t="shared" si="12"/>
        <v>39.283999999999992</v>
      </c>
      <c r="G112" s="407">
        <f>'topprodukte-benzin-diesel'!I105</f>
        <v>4.5999999999999996</v>
      </c>
      <c r="H112" s="407">
        <f>'topprodukte-benzin-diesel'!K105</f>
        <v>121</v>
      </c>
      <c r="I112" s="231">
        <f>'topprodukte-benzin-diesel'!F105</f>
        <v>32699</v>
      </c>
      <c r="J112" s="408">
        <f t="shared" si="13"/>
        <v>490.48499999999996</v>
      </c>
      <c r="K112" s="408">
        <f>J112*Eingabe!$C$48</f>
        <v>147.14549999999997</v>
      </c>
      <c r="L112" s="408" t="s">
        <v>3124</v>
      </c>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row>
    <row r="113" spans="1:39" s="211" customFormat="1" ht="13.6" x14ac:dyDescent="0.25">
      <c r="A113" s="407" t="str">
        <f>'topprodukte-benzin-diesel'!A106</f>
        <v>Opel</v>
      </c>
      <c r="B113" s="407" t="str">
        <f>'topprodukte-benzin-diesel'!B106</f>
        <v>Crossland X</v>
      </c>
      <c r="C113" s="407" t="str">
        <f t="shared" si="11"/>
        <v>Opel Crossland X - Benzin</v>
      </c>
      <c r="D113" s="407">
        <f>'topprodukte-benzin-diesel'!O106</f>
        <v>75</v>
      </c>
      <c r="E113" s="407" t="str">
        <f>'topprodukte-benzin-diesel'!J106</f>
        <v>Benzin</v>
      </c>
      <c r="F113" s="409">
        <f t="shared" si="12"/>
        <v>40.137999999999998</v>
      </c>
      <c r="G113" s="407">
        <f>'topprodukte-benzin-diesel'!I106</f>
        <v>4.7</v>
      </c>
      <c r="H113" s="407">
        <f>'topprodukte-benzin-diesel'!K106</f>
        <v>123</v>
      </c>
      <c r="I113" s="231">
        <f>'topprodukte-benzin-diesel'!F106</f>
        <v>22349</v>
      </c>
      <c r="J113" s="408">
        <f t="shared" si="13"/>
        <v>335.23500000000001</v>
      </c>
      <c r="K113" s="408">
        <f>J113*Eingabe!$C$48</f>
        <v>100.5705</v>
      </c>
      <c r="L113" s="408" t="s">
        <v>3124</v>
      </c>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row>
    <row r="114" spans="1:39" s="211" customFormat="1" ht="13.6" x14ac:dyDescent="0.25">
      <c r="A114" s="407" t="str">
        <f>'topprodukte-benzin-diesel'!A107</f>
        <v>Opel</v>
      </c>
      <c r="B114" s="407" t="str">
        <f>'topprodukte-benzin-diesel'!B107</f>
        <v>Grandland X</v>
      </c>
      <c r="C114" s="407" t="str">
        <f t="shared" si="11"/>
        <v>Opel Grandland X - Benzin</v>
      </c>
      <c r="D114" s="407">
        <f>'topprodukte-benzin-diesel'!O107</f>
        <v>96</v>
      </c>
      <c r="E114" s="407" t="str">
        <f>'topprodukte-benzin-diesel'!J107</f>
        <v>Benzin</v>
      </c>
      <c r="F114" s="409">
        <f t="shared" si="12"/>
        <v>44.407999999999994</v>
      </c>
      <c r="G114" s="407">
        <f>'topprodukte-benzin-diesel'!I107</f>
        <v>5.2</v>
      </c>
      <c r="H114" s="407">
        <f>'topprodukte-benzin-diesel'!K107</f>
        <v>136</v>
      </c>
      <c r="I114" s="231">
        <f>'topprodukte-benzin-diesel'!F107</f>
        <v>29309</v>
      </c>
      <c r="J114" s="408">
        <f t="shared" si="13"/>
        <v>439.63499999999999</v>
      </c>
      <c r="K114" s="408">
        <f>J114*Eingabe!$C$48</f>
        <v>131.8905</v>
      </c>
      <c r="L114" s="408" t="s">
        <v>3124</v>
      </c>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row>
    <row r="115" spans="1:39" s="211" customFormat="1" ht="13.6" x14ac:dyDescent="0.25">
      <c r="A115" s="407" t="str">
        <f>'topprodukte-benzin-diesel'!A108</f>
        <v>Opel</v>
      </c>
      <c r="B115" s="407" t="str">
        <f>'topprodukte-benzin-diesel'!B108</f>
        <v>Corsa</v>
      </c>
      <c r="C115" s="407" t="str">
        <f t="shared" si="11"/>
        <v>Opel Corsa - Diesel</v>
      </c>
      <c r="D115" s="407">
        <f>'topprodukte-benzin-diesel'!O108</f>
        <v>75</v>
      </c>
      <c r="E115" s="407" t="str">
        <f>'topprodukte-benzin-diesel'!J108</f>
        <v>Diesel</v>
      </c>
      <c r="F115" s="409">
        <f t="shared" si="12"/>
        <v>41.43665</v>
      </c>
      <c r="G115" s="407">
        <f>'topprodukte-benzin-diesel'!I108</f>
        <v>4.0999999999999996</v>
      </c>
      <c r="H115" s="407">
        <f>'topprodukte-benzin-diesel'!K108</f>
        <v>107</v>
      </c>
      <c r="I115" s="231">
        <f>'topprodukte-benzin-diesel'!F108</f>
        <v>20389</v>
      </c>
      <c r="J115" s="408">
        <f t="shared" si="13"/>
        <v>305.83499999999998</v>
      </c>
      <c r="K115" s="408">
        <f>J115*Eingabe!$C$48</f>
        <v>91.750499999999988</v>
      </c>
      <c r="L115" s="408" t="s">
        <v>3124</v>
      </c>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row>
    <row r="116" spans="1:39" s="211" customFormat="1" ht="13.6" x14ac:dyDescent="0.25">
      <c r="A116" s="407" t="str">
        <f>'topprodukte-benzin-diesel'!A109</f>
        <v>Opel</v>
      </c>
      <c r="B116" s="407" t="str">
        <f>'topprodukte-benzin-diesel'!B109</f>
        <v>Astra</v>
      </c>
      <c r="C116" s="407" t="str">
        <f t="shared" si="11"/>
        <v>Opel Astra - Diesel</v>
      </c>
      <c r="D116" s="407">
        <f>'topprodukte-benzin-diesel'!O109</f>
        <v>77</v>
      </c>
      <c r="E116" s="407" t="str">
        <f>'topprodukte-benzin-diesel'!J109</f>
        <v>Diesel</v>
      </c>
      <c r="F116" s="409">
        <f t="shared" si="12"/>
        <v>43.457949999999997</v>
      </c>
      <c r="G116" s="407">
        <f>'topprodukte-benzin-diesel'!I109</f>
        <v>4.3</v>
      </c>
      <c r="H116" s="407">
        <f>'topprodukte-benzin-diesel'!K109</f>
        <v>112</v>
      </c>
      <c r="I116" s="231">
        <f>'topprodukte-benzin-diesel'!F109</f>
        <v>23739</v>
      </c>
      <c r="J116" s="408">
        <f t="shared" si="13"/>
        <v>356.08499999999998</v>
      </c>
      <c r="K116" s="408">
        <f>J116*Eingabe!$C$48</f>
        <v>106.82549999999999</v>
      </c>
      <c r="L116" s="408" t="s">
        <v>3124</v>
      </c>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row>
    <row r="117" spans="1:39" s="211" customFormat="1" ht="13.6" x14ac:dyDescent="0.25">
      <c r="A117" s="407" t="str">
        <f>'topprodukte-benzin-diesel'!A110</f>
        <v>Opel</v>
      </c>
      <c r="B117" s="407" t="str">
        <f>'topprodukte-benzin-diesel'!B110</f>
        <v>Astra Sports Tourer</v>
      </c>
      <c r="C117" s="407" t="str">
        <f t="shared" si="11"/>
        <v>Opel Astra Sports Tourer - Diesel</v>
      </c>
      <c r="D117" s="407">
        <f>'topprodukte-benzin-diesel'!O110</f>
        <v>77</v>
      </c>
      <c r="E117" s="407" t="str">
        <f>'topprodukte-benzin-diesel'!J110</f>
        <v>Diesel</v>
      </c>
      <c r="F117" s="409">
        <f t="shared" si="12"/>
        <v>43.457949999999997</v>
      </c>
      <c r="G117" s="407">
        <f>'topprodukte-benzin-diesel'!I110</f>
        <v>4.3</v>
      </c>
      <c r="H117" s="407">
        <f>'topprodukte-benzin-diesel'!K110</f>
        <v>113</v>
      </c>
      <c r="I117" s="231">
        <f>'topprodukte-benzin-diesel'!F110</f>
        <v>25339</v>
      </c>
      <c r="J117" s="408">
        <f t="shared" si="13"/>
        <v>380.08499999999998</v>
      </c>
      <c r="K117" s="408">
        <f>J117*Eingabe!$C$48</f>
        <v>114.02549999999999</v>
      </c>
      <c r="L117" s="408" t="s">
        <v>3124</v>
      </c>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row>
    <row r="118" spans="1:39" s="211" customFormat="1" ht="13.6" x14ac:dyDescent="0.25">
      <c r="A118" s="407" t="str">
        <f>'topprodukte-benzin-diesel'!A111</f>
        <v>Opel</v>
      </c>
      <c r="B118" s="407" t="str">
        <f>'topprodukte-benzin-diesel'!B111</f>
        <v>Insignia</v>
      </c>
      <c r="C118" s="407" t="str">
        <f t="shared" si="11"/>
        <v>Opel Insignia - Diesel</v>
      </c>
      <c r="D118" s="407">
        <f>'topprodukte-benzin-diesel'!O111</f>
        <v>90</v>
      </c>
      <c r="E118" s="407" t="str">
        <f>'topprodukte-benzin-diesel'!J111</f>
        <v>Diesel</v>
      </c>
      <c r="F118" s="409">
        <f t="shared" si="12"/>
        <v>46.489899999999999</v>
      </c>
      <c r="G118" s="407">
        <f>'topprodukte-benzin-diesel'!I111</f>
        <v>4.5999999999999996</v>
      </c>
      <c r="H118" s="407">
        <f>'topprodukte-benzin-diesel'!K111</f>
        <v>121</v>
      </c>
      <c r="I118" s="231">
        <f>'topprodukte-benzin-diesel'!F111</f>
        <v>32699</v>
      </c>
      <c r="J118" s="408">
        <f t="shared" si="13"/>
        <v>490.48499999999996</v>
      </c>
      <c r="K118" s="408">
        <f>J118*Eingabe!$C$48</f>
        <v>147.14549999999997</v>
      </c>
      <c r="L118" s="408" t="s">
        <v>3124</v>
      </c>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row>
    <row r="119" spans="1:39" s="211" customFormat="1" ht="13.6" x14ac:dyDescent="0.25">
      <c r="A119" s="407" t="str">
        <f>'topprodukte-benzin-diesel'!A112</f>
        <v>Peugeot</v>
      </c>
      <c r="B119" s="407">
        <f>'topprodukte-benzin-diesel'!B112</f>
        <v>208</v>
      </c>
      <c r="C119" s="407" t="str">
        <f t="shared" si="11"/>
        <v>Peugeot 208 - Benzin</v>
      </c>
      <c r="D119" s="407">
        <f>'topprodukte-benzin-diesel'!O112</f>
        <v>55</v>
      </c>
      <c r="E119" s="407" t="str">
        <f>'topprodukte-benzin-diesel'!J112</f>
        <v>Benzin</v>
      </c>
      <c r="F119" s="409">
        <f t="shared" si="12"/>
        <v>46.116</v>
      </c>
      <c r="G119" s="407">
        <f>'topprodukte-benzin-diesel'!I112</f>
        <v>5.4</v>
      </c>
      <c r="H119" s="407">
        <f>'topprodukte-benzin-diesel'!K112</f>
        <v>123</v>
      </c>
      <c r="I119" s="231">
        <f>'topprodukte-benzin-diesel'!F112</f>
        <v>15990</v>
      </c>
      <c r="J119" s="408">
        <f t="shared" si="13"/>
        <v>239.85</v>
      </c>
      <c r="K119" s="408">
        <f>J119*Eingabe!$C$48</f>
        <v>71.954999999999998</v>
      </c>
      <c r="L119" s="408" t="s">
        <v>3124</v>
      </c>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row>
    <row r="120" spans="1:39" s="211" customFormat="1" ht="13.6" x14ac:dyDescent="0.25">
      <c r="A120" s="407" t="str">
        <f>'topprodukte-benzin-diesel'!A113</f>
        <v>Peugeot</v>
      </c>
      <c r="B120" s="407" t="str">
        <f>'topprodukte-benzin-diesel'!B113</f>
        <v>308 SW</v>
      </c>
      <c r="C120" s="407" t="str">
        <f t="shared" si="11"/>
        <v>Peugeot 308 SW - Benzin</v>
      </c>
      <c r="D120" s="407">
        <f>'topprodukte-benzin-diesel'!O113</f>
        <v>81</v>
      </c>
      <c r="E120" s="407" t="str">
        <f>'topprodukte-benzin-diesel'!J113</f>
        <v>Benzin</v>
      </c>
      <c r="F120" s="409">
        <f t="shared" si="12"/>
        <v>50.385999999999996</v>
      </c>
      <c r="G120" s="407">
        <f>'topprodukte-benzin-diesel'!I113</f>
        <v>5.9</v>
      </c>
      <c r="H120" s="407">
        <f>'topprodukte-benzin-diesel'!K113</f>
        <v>134</v>
      </c>
      <c r="I120" s="231">
        <f>'topprodukte-benzin-diesel'!F113</f>
        <v>23600</v>
      </c>
      <c r="J120" s="408">
        <f t="shared" si="13"/>
        <v>354</v>
      </c>
      <c r="K120" s="408">
        <f>J120*Eingabe!$C$48</f>
        <v>106.2</v>
      </c>
      <c r="L120" s="408" t="s">
        <v>3124</v>
      </c>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row>
    <row r="121" spans="1:39" s="211" customFormat="1" ht="13.6" x14ac:dyDescent="0.25">
      <c r="A121" s="407" t="str">
        <f>'topprodukte-benzin-diesel'!A114</f>
        <v>Peugeot</v>
      </c>
      <c r="B121" s="407">
        <f>'topprodukte-benzin-diesel'!B114</f>
        <v>508</v>
      </c>
      <c r="C121" s="407" t="str">
        <f t="shared" si="11"/>
        <v>Peugeot 508 - Benzin</v>
      </c>
      <c r="D121" s="407">
        <f>'topprodukte-benzin-diesel'!O114</f>
        <v>133</v>
      </c>
      <c r="E121" s="407" t="str">
        <f>'topprodukte-benzin-diesel'!J114</f>
        <v>Benzin</v>
      </c>
      <c r="F121" s="409">
        <f t="shared" ref="F121:F151" si="14">IF(E121="Benzin",$O$3*G121,$O$4*G121)</f>
        <v>55.509999999999991</v>
      </c>
      <c r="G121" s="407">
        <f>'topprodukte-benzin-diesel'!I114</f>
        <v>6.5</v>
      </c>
      <c r="H121" s="407">
        <f>'topprodukte-benzin-diesel'!K114</f>
        <v>145</v>
      </c>
      <c r="I121" s="231">
        <f>'topprodukte-benzin-diesel'!F114</f>
        <v>42250</v>
      </c>
      <c r="J121" s="408">
        <f t="shared" si="13"/>
        <v>845</v>
      </c>
      <c r="K121" s="408">
        <f>J121*Eingabe!$C$48</f>
        <v>253.5</v>
      </c>
      <c r="L121" s="408" t="s">
        <v>3124</v>
      </c>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row>
    <row r="122" spans="1:39" s="211" customFormat="1" ht="13.6" x14ac:dyDescent="0.25">
      <c r="A122" s="407" t="str">
        <f>'topprodukte-benzin-diesel'!A115</f>
        <v>Peugeot</v>
      </c>
      <c r="B122" s="407">
        <f>'topprodukte-benzin-diesel'!B115</f>
        <v>3008</v>
      </c>
      <c r="C122" s="407" t="str">
        <f t="shared" si="11"/>
        <v>Peugeot 3008 - Benzin</v>
      </c>
      <c r="D122" s="407">
        <f>'topprodukte-benzin-diesel'!O115</f>
        <v>96</v>
      </c>
      <c r="E122" s="407" t="str">
        <f>'topprodukte-benzin-diesel'!J115</f>
        <v>Benzin</v>
      </c>
      <c r="F122" s="409">
        <f t="shared" si="14"/>
        <v>53.801999999999992</v>
      </c>
      <c r="G122" s="407">
        <f>'topprodukte-benzin-diesel'!I115</f>
        <v>6.3</v>
      </c>
      <c r="H122" s="407">
        <f>'topprodukte-benzin-diesel'!K115</f>
        <v>144</v>
      </c>
      <c r="I122" s="231">
        <f>'topprodukte-benzin-diesel'!F115</f>
        <v>26790</v>
      </c>
      <c r="J122" s="408">
        <f t="shared" si="13"/>
        <v>535.79999999999995</v>
      </c>
      <c r="K122" s="408">
        <f>J122*Eingabe!$C$48</f>
        <v>160.73999999999998</v>
      </c>
      <c r="L122" s="408" t="s">
        <v>3124</v>
      </c>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row>
    <row r="123" spans="1:39" s="211" customFormat="1" ht="13.6" x14ac:dyDescent="0.25">
      <c r="A123" s="407" t="str">
        <f>'topprodukte-benzin-diesel'!A116</f>
        <v>Peugeot</v>
      </c>
      <c r="B123" s="407">
        <f>'topprodukte-benzin-diesel'!B116</f>
        <v>5008</v>
      </c>
      <c r="C123" s="407" t="str">
        <f t="shared" si="11"/>
        <v>Peugeot 5008 - Benzin</v>
      </c>
      <c r="D123" s="407">
        <f>'topprodukte-benzin-diesel'!O116</f>
        <v>96</v>
      </c>
      <c r="E123" s="407" t="str">
        <f>'topprodukte-benzin-diesel'!J116</f>
        <v>Benzin</v>
      </c>
      <c r="F123" s="409">
        <f t="shared" si="14"/>
        <v>55.509999999999991</v>
      </c>
      <c r="G123" s="407">
        <f>'topprodukte-benzin-diesel'!I116</f>
        <v>6.5</v>
      </c>
      <c r="H123" s="407">
        <f>'topprodukte-benzin-diesel'!K116</f>
        <v>147</v>
      </c>
      <c r="I123" s="231">
        <f>'topprodukte-benzin-diesel'!F116</f>
        <v>28790</v>
      </c>
      <c r="J123" s="408">
        <f t="shared" si="13"/>
        <v>575.80000000000007</v>
      </c>
      <c r="K123" s="408">
        <f>J123*Eingabe!$C$48</f>
        <v>172.74</v>
      </c>
      <c r="L123" s="408" t="s">
        <v>3124</v>
      </c>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row>
    <row r="124" spans="1:39" s="211" customFormat="1" ht="13.6" x14ac:dyDescent="0.25">
      <c r="A124" s="407" t="str">
        <f>'topprodukte-benzin-diesel'!A117</f>
        <v>Peugeot</v>
      </c>
      <c r="B124" s="407">
        <f>'topprodukte-benzin-diesel'!B117</f>
        <v>208</v>
      </c>
      <c r="C124" s="407" t="str">
        <f t="shared" si="11"/>
        <v>Peugeot 208 - Benzin</v>
      </c>
      <c r="D124" s="407">
        <f>'topprodukte-benzin-diesel'!O117</f>
        <v>75</v>
      </c>
      <c r="E124" s="407" t="str">
        <f>'topprodukte-benzin-diesel'!J117</f>
        <v>Benzin</v>
      </c>
      <c r="F124" s="409">
        <f t="shared" si="14"/>
        <v>35.013999999999996</v>
      </c>
      <c r="G124" s="407">
        <f>'topprodukte-benzin-diesel'!I117</f>
        <v>4.0999999999999996</v>
      </c>
      <c r="H124" s="407">
        <f>'topprodukte-benzin-diesel'!K117</f>
        <v>108</v>
      </c>
      <c r="I124" s="231">
        <f>'topprodukte-benzin-diesel'!F117</f>
        <v>19530</v>
      </c>
      <c r="J124" s="408">
        <f t="shared" si="13"/>
        <v>292.95</v>
      </c>
      <c r="K124" s="408">
        <f>J124*Eingabe!$C$48</f>
        <v>87.884999999999991</v>
      </c>
      <c r="L124" s="408" t="s">
        <v>3124</v>
      </c>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row>
    <row r="125" spans="1:39" s="211" customFormat="1" ht="13.6" x14ac:dyDescent="0.25">
      <c r="A125" s="407" t="str">
        <f>'topprodukte-benzin-diesel'!A118</f>
        <v>Peugeot</v>
      </c>
      <c r="B125" s="407">
        <f>'topprodukte-benzin-diesel'!B118</f>
        <v>308</v>
      </c>
      <c r="C125" s="407" t="str">
        <f t="shared" si="11"/>
        <v>Peugeot 308 - Benzin</v>
      </c>
      <c r="D125" s="407">
        <f>'topprodukte-benzin-diesel'!O118</f>
        <v>75</v>
      </c>
      <c r="E125" s="407" t="str">
        <f>'topprodukte-benzin-diesel'!J118</f>
        <v>Benzin</v>
      </c>
      <c r="F125" s="409">
        <f t="shared" si="14"/>
        <v>38.429999999999993</v>
      </c>
      <c r="G125" s="407">
        <f>'topprodukte-benzin-diesel'!I118</f>
        <v>4.5</v>
      </c>
      <c r="H125" s="407">
        <f>'topprodukte-benzin-diesel'!K118</f>
        <v>118</v>
      </c>
      <c r="I125" s="231">
        <f>'topprodukte-benzin-diesel'!F118</f>
        <v>23850</v>
      </c>
      <c r="J125" s="408">
        <f t="shared" si="13"/>
        <v>357.75</v>
      </c>
      <c r="K125" s="408">
        <f>J125*Eingabe!$C$48</f>
        <v>107.325</v>
      </c>
      <c r="L125" s="408" t="s">
        <v>3124</v>
      </c>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row>
    <row r="126" spans="1:39" s="211" customFormat="1" ht="13.6" x14ac:dyDescent="0.25">
      <c r="A126" s="407" t="str">
        <f>'topprodukte-benzin-diesel'!A119</f>
        <v>Peugeot</v>
      </c>
      <c r="B126" s="407">
        <f>'topprodukte-benzin-diesel'!B119</f>
        <v>508</v>
      </c>
      <c r="C126" s="407" t="str">
        <f t="shared" si="11"/>
        <v>Peugeot 508 - Benzin</v>
      </c>
      <c r="D126" s="407">
        <f>'topprodukte-benzin-diesel'!O119</f>
        <v>96</v>
      </c>
      <c r="E126" s="407" t="str">
        <f>'topprodukte-benzin-diesel'!J119</f>
        <v>Benzin</v>
      </c>
      <c r="F126" s="409">
        <f t="shared" si="14"/>
        <v>40.137999999999998</v>
      </c>
      <c r="G126" s="407">
        <f>'topprodukte-benzin-diesel'!I119</f>
        <v>4.7</v>
      </c>
      <c r="H126" s="407">
        <f>'topprodukte-benzin-diesel'!K119</f>
        <v>120</v>
      </c>
      <c r="I126" s="231">
        <f>'topprodukte-benzin-diesel'!F119</f>
        <v>36750</v>
      </c>
      <c r="J126" s="408">
        <f t="shared" si="13"/>
        <v>551.25</v>
      </c>
      <c r="K126" s="408">
        <f>J126*Eingabe!$C$48</f>
        <v>165.375</v>
      </c>
      <c r="L126" s="408" t="s">
        <v>3124</v>
      </c>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row>
    <row r="127" spans="1:39" s="211" customFormat="1" ht="13.6" x14ac:dyDescent="0.25">
      <c r="A127" s="407" t="str">
        <f>'topprodukte-benzin-diesel'!A120</f>
        <v>Peugeot</v>
      </c>
      <c r="B127" s="407" t="str">
        <f>'topprodukte-benzin-diesel'!B120</f>
        <v>308 SW</v>
      </c>
      <c r="C127" s="407" t="str">
        <f t="shared" si="11"/>
        <v>Peugeot 308 SW - Benzin</v>
      </c>
      <c r="D127" s="407">
        <f>'topprodukte-benzin-diesel'!O120</f>
        <v>96</v>
      </c>
      <c r="E127" s="407" t="str">
        <f>'topprodukte-benzin-diesel'!J120</f>
        <v>Benzin</v>
      </c>
      <c r="F127" s="409">
        <f t="shared" si="14"/>
        <v>40.137999999999998</v>
      </c>
      <c r="G127" s="407">
        <f>'topprodukte-benzin-diesel'!I120</f>
        <v>4.7</v>
      </c>
      <c r="H127" s="407">
        <f>'topprodukte-benzin-diesel'!K120</f>
        <v>122</v>
      </c>
      <c r="I127" s="231">
        <f>'topprodukte-benzin-diesel'!F120</f>
        <v>27800</v>
      </c>
      <c r="J127" s="408">
        <f t="shared" si="13"/>
        <v>417</v>
      </c>
      <c r="K127" s="408">
        <f>J127*Eingabe!$C$48</f>
        <v>125.1</v>
      </c>
      <c r="L127" s="408" t="s">
        <v>3124</v>
      </c>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row>
    <row r="128" spans="1:39" s="211" customFormat="1" ht="13.6" x14ac:dyDescent="0.25">
      <c r="A128" s="407" t="str">
        <f>'topprodukte-benzin-diesel'!A121</f>
        <v>Peugeot</v>
      </c>
      <c r="B128" s="407">
        <f>'topprodukte-benzin-diesel'!B121</f>
        <v>2008</v>
      </c>
      <c r="C128" s="407" t="str">
        <f t="shared" si="11"/>
        <v>Peugeot 2008 - Benzin</v>
      </c>
      <c r="D128" s="407">
        <f>'topprodukte-benzin-diesel'!O121</f>
        <v>75</v>
      </c>
      <c r="E128" s="407" t="str">
        <f>'topprodukte-benzin-diesel'!J121</f>
        <v>Benzin</v>
      </c>
      <c r="F128" s="409">
        <f t="shared" si="14"/>
        <v>38.429999999999993</v>
      </c>
      <c r="G128" s="407">
        <f>'topprodukte-benzin-diesel'!I121</f>
        <v>4.5</v>
      </c>
      <c r="H128" s="407">
        <f>'topprodukte-benzin-diesel'!K121</f>
        <v>118</v>
      </c>
      <c r="I128" s="231">
        <f>'topprodukte-benzin-diesel'!F121</f>
        <v>25510</v>
      </c>
      <c r="J128" s="408">
        <f t="shared" si="13"/>
        <v>382.65</v>
      </c>
      <c r="K128" s="408">
        <f>J128*Eingabe!$C$48</f>
        <v>114.79499999999999</v>
      </c>
      <c r="L128" s="408" t="s">
        <v>3124</v>
      </c>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row>
    <row r="129" spans="1:39" s="211" customFormat="1" ht="13.6" x14ac:dyDescent="0.25">
      <c r="A129" s="407" t="str">
        <f>'topprodukte-benzin-diesel'!A122</f>
        <v>Peugeot</v>
      </c>
      <c r="B129" s="407">
        <f>'topprodukte-benzin-diesel'!B122</f>
        <v>3008</v>
      </c>
      <c r="C129" s="407" t="str">
        <f t="shared" si="11"/>
        <v>Peugeot 3008 - Benzin</v>
      </c>
      <c r="D129" s="407">
        <f>'topprodukte-benzin-diesel'!O122</f>
        <v>96</v>
      </c>
      <c r="E129" s="407" t="str">
        <f>'topprodukte-benzin-diesel'!J122</f>
        <v>Benzin</v>
      </c>
      <c r="F129" s="409">
        <f t="shared" si="14"/>
        <v>44.407999999999994</v>
      </c>
      <c r="G129" s="407">
        <f>'topprodukte-benzin-diesel'!I122</f>
        <v>5.2</v>
      </c>
      <c r="H129" s="407">
        <f>'topprodukte-benzin-diesel'!K122</f>
        <v>136</v>
      </c>
      <c r="I129" s="231">
        <f>'topprodukte-benzin-diesel'!F122</f>
        <v>33000</v>
      </c>
      <c r="J129" s="408">
        <f t="shared" si="13"/>
        <v>495</v>
      </c>
      <c r="K129" s="408">
        <f>J129*Eingabe!$C$48</f>
        <v>148.5</v>
      </c>
      <c r="L129" s="408" t="s">
        <v>3124</v>
      </c>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row>
    <row r="130" spans="1:39" s="211" customFormat="1" ht="13.6" x14ac:dyDescent="0.25">
      <c r="A130" s="407" t="str">
        <f>'topprodukte-benzin-diesel'!A123</f>
        <v>Peugeot</v>
      </c>
      <c r="B130" s="407">
        <f>'topprodukte-benzin-diesel'!B123</f>
        <v>5008</v>
      </c>
      <c r="C130" s="407" t="str">
        <f t="shared" si="11"/>
        <v>Peugeot 5008 - Benzin</v>
      </c>
      <c r="D130" s="407">
        <f>'topprodukte-benzin-diesel'!O123</f>
        <v>96</v>
      </c>
      <c r="E130" s="407" t="str">
        <f>'topprodukte-benzin-diesel'!J123</f>
        <v>Benzin</v>
      </c>
      <c r="F130" s="409">
        <f t="shared" si="14"/>
        <v>45.261999999999993</v>
      </c>
      <c r="G130" s="407">
        <f>'topprodukte-benzin-diesel'!I123</f>
        <v>5.3</v>
      </c>
      <c r="H130" s="407">
        <f>'topprodukte-benzin-diesel'!K123</f>
        <v>137</v>
      </c>
      <c r="I130" s="231">
        <f>'topprodukte-benzin-diesel'!F123</f>
        <v>34900</v>
      </c>
      <c r="J130" s="408">
        <f t="shared" si="13"/>
        <v>523.5</v>
      </c>
      <c r="K130" s="408">
        <f>J130*Eingabe!$C$48</f>
        <v>157.04999999999998</v>
      </c>
      <c r="L130" s="408" t="s">
        <v>3124</v>
      </c>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row>
    <row r="131" spans="1:39" s="211" customFormat="1" ht="13.6" x14ac:dyDescent="0.25">
      <c r="A131" s="407" t="str">
        <f>'topprodukte-benzin-diesel'!A124</f>
        <v>Peugeot</v>
      </c>
      <c r="B131" s="407">
        <f>'topprodukte-benzin-diesel'!B124</f>
        <v>208</v>
      </c>
      <c r="C131" s="407" t="str">
        <f t="shared" si="11"/>
        <v>Peugeot 208 - Diesel</v>
      </c>
      <c r="D131" s="407">
        <f>'topprodukte-benzin-diesel'!O124</f>
        <v>75</v>
      </c>
      <c r="E131" s="407" t="str">
        <f>'topprodukte-benzin-diesel'!J124</f>
        <v>Diesel</v>
      </c>
      <c r="F131" s="409">
        <f t="shared" si="14"/>
        <v>41.43665</v>
      </c>
      <c r="G131" s="407">
        <f>'topprodukte-benzin-diesel'!I124</f>
        <v>4.0999999999999996</v>
      </c>
      <c r="H131" s="407">
        <f>'topprodukte-benzin-diesel'!K124</f>
        <v>108</v>
      </c>
      <c r="I131" s="231">
        <f>'topprodukte-benzin-diesel'!F124</f>
        <v>19530</v>
      </c>
      <c r="J131" s="408">
        <f t="shared" si="13"/>
        <v>292.95</v>
      </c>
      <c r="K131" s="408">
        <f>J131*Eingabe!$C$48</f>
        <v>87.884999999999991</v>
      </c>
      <c r="L131" s="408" t="s">
        <v>3124</v>
      </c>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row>
    <row r="132" spans="1:39" s="211" customFormat="1" ht="13.6" x14ac:dyDescent="0.25">
      <c r="A132" s="407" t="str">
        <f>'topprodukte-benzin-diesel'!A125</f>
        <v>Peugeot</v>
      </c>
      <c r="B132" s="407">
        <f>'topprodukte-benzin-diesel'!B125</f>
        <v>308</v>
      </c>
      <c r="C132" s="407" t="str">
        <f t="shared" si="11"/>
        <v>Peugeot 308 - Diesel</v>
      </c>
      <c r="D132" s="407">
        <f>'topprodukte-benzin-diesel'!O125</f>
        <v>75</v>
      </c>
      <c r="E132" s="407" t="str">
        <f>'topprodukte-benzin-diesel'!J125</f>
        <v>Diesel</v>
      </c>
      <c r="F132" s="409">
        <f t="shared" si="14"/>
        <v>45.47925</v>
      </c>
      <c r="G132" s="407">
        <f>'topprodukte-benzin-diesel'!I125</f>
        <v>4.5</v>
      </c>
      <c r="H132" s="407">
        <f>'topprodukte-benzin-diesel'!K125</f>
        <v>118</v>
      </c>
      <c r="I132" s="231">
        <f>'topprodukte-benzin-diesel'!F125</f>
        <v>23850</v>
      </c>
      <c r="J132" s="408">
        <f t="shared" si="13"/>
        <v>357.75</v>
      </c>
      <c r="K132" s="408">
        <f>J132*Eingabe!$C$48</f>
        <v>107.325</v>
      </c>
      <c r="L132" s="408" t="s">
        <v>3124</v>
      </c>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row>
    <row r="133" spans="1:39" s="211" customFormat="1" ht="13.6" x14ac:dyDescent="0.25">
      <c r="A133" s="407" t="str">
        <f>'topprodukte-benzin-diesel'!A126</f>
        <v>Peugeot</v>
      </c>
      <c r="B133" s="407">
        <f>'topprodukte-benzin-diesel'!B126</f>
        <v>508</v>
      </c>
      <c r="C133" s="407" t="str">
        <f t="shared" si="11"/>
        <v>Peugeot 508 - Diesel</v>
      </c>
      <c r="D133" s="407">
        <f>'topprodukte-benzin-diesel'!O126</f>
        <v>96</v>
      </c>
      <c r="E133" s="407" t="str">
        <f>'topprodukte-benzin-diesel'!J126</f>
        <v>Diesel</v>
      </c>
      <c r="F133" s="409">
        <f t="shared" si="14"/>
        <v>47.500550000000004</v>
      </c>
      <c r="G133" s="407">
        <f>'topprodukte-benzin-diesel'!I126</f>
        <v>4.7</v>
      </c>
      <c r="H133" s="407">
        <f>'topprodukte-benzin-diesel'!K126</f>
        <v>120</v>
      </c>
      <c r="I133" s="231">
        <f>'topprodukte-benzin-diesel'!F126</f>
        <v>36750</v>
      </c>
      <c r="J133" s="408">
        <f t="shared" si="13"/>
        <v>551.25</v>
      </c>
      <c r="K133" s="408">
        <f>J133*Eingabe!$C$48</f>
        <v>165.375</v>
      </c>
      <c r="L133" s="408" t="s">
        <v>3124</v>
      </c>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row>
    <row r="134" spans="1:39" s="211" customFormat="1" ht="13.6" x14ac:dyDescent="0.25">
      <c r="A134" s="407" t="str">
        <f>'topprodukte-benzin-diesel'!A127</f>
        <v>Peugeot</v>
      </c>
      <c r="B134" s="407" t="str">
        <f>'topprodukte-benzin-diesel'!B127</f>
        <v>308 SW</v>
      </c>
      <c r="C134" s="407" t="str">
        <f t="shared" ref="C134:C215" si="15">CONCATENATE(A134," ",B134," - ",E134)</f>
        <v>Peugeot 308 SW - Diesel</v>
      </c>
      <c r="D134" s="407">
        <f>'topprodukte-benzin-diesel'!O127</f>
        <v>96</v>
      </c>
      <c r="E134" s="407" t="str">
        <f>'topprodukte-benzin-diesel'!J127</f>
        <v>Diesel</v>
      </c>
      <c r="F134" s="409">
        <f t="shared" si="14"/>
        <v>47.500550000000004</v>
      </c>
      <c r="G134" s="407">
        <f>'topprodukte-benzin-diesel'!I127</f>
        <v>4.7</v>
      </c>
      <c r="H134" s="407">
        <f>'topprodukte-benzin-diesel'!K127</f>
        <v>122</v>
      </c>
      <c r="I134" s="231">
        <f>'topprodukte-benzin-diesel'!F127</f>
        <v>27800</v>
      </c>
      <c r="J134" s="408">
        <f t="shared" si="13"/>
        <v>417</v>
      </c>
      <c r="K134" s="408">
        <f>J134*Eingabe!$C$48</f>
        <v>125.1</v>
      </c>
      <c r="L134" s="408" t="s">
        <v>3124</v>
      </c>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row>
    <row r="135" spans="1:39" s="211" customFormat="1" ht="13.6" x14ac:dyDescent="0.25">
      <c r="A135" s="407" t="str">
        <f>'topprodukte-benzin-diesel'!A128</f>
        <v>Peugeot</v>
      </c>
      <c r="B135" s="407">
        <f>'topprodukte-benzin-diesel'!B128</f>
        <v>2008</v>
      </c>
      <c r="C135" s="407" t="str">
        <f t="shared" si="15"/>
        <v>Peugeot 2008 - Diesel</v>
      </c>
      <c r="D135" s="407">
        <f>'topprodukte-benzin-diesel'!O128</f>
        <v>75</v>
      </c>
      <c r="E135" s="407" t="str">
        <f>'topprodukte-benzin-diesel'!J128</f>
        <v>Diesel</v>
      </c>
      <c r="F135" s="409">
        <f t="shared" si="14"/>
        <v>45.47925</v>
      </c>
      <c r="G135" s="407">
        <f>'topprodukte-benzin-diesel'!I128</f>
        <v>4.5</v>
      </c>
      <c r="H135" s="407">
        <f>'topprodukte-benzin-diesel'!K128</f>
        <v>118</v>
      </c>
      <c r="I135" s="231">
        <f>'topprodukte-benzin-diesel'!F128</f>
        <v>25510</v>
      </c>
      <c r="J135" s="408">
        <f t="shared" si="13"/>
        <v>382.65</v>
      </c>
      <c r="K135" s="408">
        <f>J135*Eingabe!$C$48</f>
        <v>114.79499999999999</v>
      </c>
      <c r="L135" s="408" t="s">
        <v>3124</v>
      </c>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row>
    <row r="136" spans="1:39" s="211" customFormat="1" ht="13.6" x14ac:dyDescent="0.25">
      <c r="A136" s="407" t="str">
        <f>'topprodukte-benzin-diesel'!A129</f>
        <v xml:space="preserve">Peugeot </v>
      </c>
      <c r="B136" s="407">
        <f>'topprodukte-benzin-diesel'!B129</f>
        <v>108</v>
      </c>
      <c r="C136" s="407" t="str">
        <f t="shared" si="15"/>
        <v>Peugeot  108 - Benzin</v>
      </c>
      <c r="D136" s="407">
        <f>'topprodukte-benzin-diesel'!O129</f>
        <v>53</v>
      </c>
      <c r="E136" s="407" t="str">
        <f>'topprodukte-benzin-diesel'!J129</f>
        <v>Benzin</v>
      </c>
      <c r="F136" s="409">
        <f t="shared" si="14"/>
        <v>40.991999999999997</v>
      </c>
      <c r="G136" s="407">
        <f>'topprodukte-benzin-diesel'!I129</f>
        <v>4.8</v>
      </c>
      <c r="H136" s="407">
        <f>'topprodukte-benzin-diesel'!K129</f>
        <v>109</v>
      </c>
      <c r="I136" s="231">
        <f>'topprodukte-benzin-diesel'!F129</f>
        <v>12740</v>
      </c>
      <c r="J136" s="408">
        <f t="shared" si="13"/>
        <v>191.1</v>
      </c>
      <c r="K136" s="408">
        <f>J136*Eingabe!$C$48</f>
        <v>57.33</v>
      </c>
      <c r="L136" s="408" t="s">
        <v>3124</v>
      </c>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row>
    <row r="137" spans="1:39" s="211" customFormat="1" ht="13.6" x14ac:dyDescent="0.25">
      <c r="A137" s="407" t="str">
        <f>'topprodukte-benzin-diesel'!A130</f>
        <v>Renault</v>
      </c>
      <c r="B137" s="407" t="str">
        <f>'topprodukte-benzin-diesel'!B130</f>
        <v>Twingo</v>
      </c>
      <c r="C137" s="407" t="str">
        <f t="shared" si="15"/>
        <v>Renault Twingo - Benzin</v>
      </c>
      <c r="D137" s="407">
        <f>'topprodukte-benzin-diesel'!O130</f>
        <v>54</v>
      </c>
      <c r="E137" s="407" t="str">
        <f>'topprodukte-benzin-diesel'!J130</f>
        <v>Benzin</v>
      </c>
      <c r="F137" s="409">
        <f t="shared" si="14"/>
        <v>45.261999999999993</v>
      </c>
      <c r="G137" s="407">
        <f>'topprodukte-benzin-diesel'!I130</f>
        <v>5.3</v>
      </c>
      <c r="H137" s="407">
        <f>'topprodukte-benzin-diesel'!K130</f>
        <v>119</v>
      </c>
      <c r="I137" s="231">
        <f>'topprodukte-benzin-diesel'!F130</f>
        <v>9990</v>
      </c>
      <c r="J137" s="408">
        <f t="shared" si="13"/>
        <v>149.85</v>
      </c>
      <c r="K137" s="408">
        <f>J137*Eingabe!$C$48</f>
        <v>44.954999999999998</v>
      </c>
      <c r="L137" s="408" t="s">
        <v>3124</v>
      </c>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row>
    <row r="138" spans="1:39" s="211" customFormat="1" ht="13.6" x14ac:dyDescent="0.25">
      <c r="A138" s="407" t="str">
        <f>'topprodukte-benzin-diesel'!A131</f>
        <v>Renault</v>
      </c>
      <c r="B138" s="407" t="str">
        <f>'topprodukte-benzin-diesel'!B131</f>
        <v>Clio</v>
      </c>
      <c r="C138" s="407" t="str">
        <f t="shared" si="15"/>
        <v>Renault Clio - Benzin</v>
      </c>
      <c r="D138" s="407">
        <f>'topprodukte-benzin-diesel'!O131</f>
        <v>53</v>
      </c>
      <c r="E138" s="407" t="str">
        <f>'topprodukte-benzin-diesel'!J131</f>
        <v>Benzin</v>
      </c>
      <c r="F138" s="409">
        <f t="shared" si="14"/>
        <v>46.116</v>
      </c>
      <c r="G138" s="407">
        <f>'topprodukte-benzin-diesel'!I131</f>
        <v>5.4</v>
      </c>
      <c r="H138" s="407">
        <f>'topprodukte-benzin-diesel'!K131</f>
        <v>120</v>
      </c>
      <c r="I138" s="231">
        <f>'topprodukte-benzin-diesel'!F131</f>
        <v>12940</v>
      </c>
      <c r="J138" s="408">
        <f t="shared" si="13"/>
        <v>194.1</v>
      </c>
      <c r="K138" s="408">
        <f>J138*Eingabe!$C$48</f>
        <v>58.23</v>
      </c>
      <c r="L138" s="408" t="s">
        <v>3124</v>
      </c>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row>
    <row r="139" spans="1:39" s="211" customFormat="1" ht="13.6" x14ac:dyDescent="0.25">
      <c r="A139" s="407" t="str">
        <f>'topprodukte-benzin-diesel'!A132</f>
        <v>Renault</v>
      </c>
      <c r="B139" s="407" t="str">
        <f>'topprodukte-benzin-diesel'!B132</f>
        <v>Megane Grandtour</v>
      </c>
      <c r="C139" s="407" t="str">
        <f t="shared" si="15"/>
        <v>Renault Megane Grandtour - Benzin</v>
      </c>
      <c r="D139" s="407">
        <f>'topprodukte-benzin-diesel'!O132</f>
        <v>84</v>
      </c>
      <c r="E139" s="407" t="str">
        <f>'topprodukte-benzin-diesel'!J132</f>
        <v>Benzin</v>
      </c>
      <c r="F139" s="409">
        <f t="shared" si="14"/>
        <v>50.385999999999996</v>
      </c>
      <c r="G139" s="407">
        <f>'topprodukte-benzin-diesel'!I132</f>
        <v>5.9</v>
      </c>
      <c r="H139" s="407">
        <f>'topprodukte-benzin-diesel'!K132</f>
        <v>135</v>
      </c>
      <c r="I139" s="231">
        <f>'topprodukte-benzin-diesel'!F132</f>
        <v>19290</v>
      </c>
      <c r="J139" s="408">
        <f t="shared" si="13"/>
        <v>289.34999999999997</v>
      </c>
      <c r="K139" s="408">
        <f>J139*Eingabe!$C$48</f>
        <v>86.804999999999993</v>
      </c>
      <c r="L139" s="408" t="s">
        <v>3124</v>
      </c>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row>
    <row r="140" spans="1:39" s="211" customFormat="1" ht="13.6" x14ac:dyDescent="0.25">
      <c r="A140" s="407" t="str">
        <f>'topprodukte-benzin-diesel'!A133</f>
        <v>Renault</v>
      </c>
      <c r="B140" s="407" t="str">
        <f>'topprodukte-benzin-diesel'!B133</f>
        <v>Captur</v>
      </c>
      <c r="C140" s="407" t="str">
        <f t="shared" si="15"/>
        <v>Renault Captur - Benzin</v>
      </c>
      <c r="D140" s="407">
        <f>'topprodukte-benzin-diesel'!O133</f>
        <v>74</v>
      </c>
      <c r="E140" s="407" t="str">
        <f>'topprodukte-benzin-diesel'!J133</f>
        <v>Benzin</v>
      </c>
      <c r="F140" s="409">
        <f t="shared" si="14"/>
        <v>50.385999999999996</v>
      </c>
      <c r="G140" s="407">
        <f>'topprodukte-benzin-diesel'!I133</f>
        <v>5.9</v>
      </c>
      <c r="H140" s="407">
        <f>'topprodukte-benzin-diesel'!K133</f>
        <v>134</v>
      </c>
      <c r="I140" s="231">
        <f>'topprodukte-benzin-diesel'!F133</f>
        <v>18540</v>
      </c>
      <c r="J140" s="408">
        <f t="shared" si="13"/>
        <v>278.09999999999997</v>
      </c>
      <c r="K140" s="408">
        <f>J140*Eingabe!$C$48</f>
        <v>83.429999999999993</v>
      </c>
      <c r="L140" s="408" t="s">
        <v>3124</v>
      </c>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row>
    <row r="141" spans="1:39" s="211" customFormat="1" ht="13.6" x14ac:dyDescent="0.25">
      <c r="A141" s="407" t="str">
        <f>'topprodukte-benzin-diesel'!A134</f>
        <v>Renault</v>
      </c>
      <c r="B141" s="407" t="str">
        <f>'topprodukte-benzin-diesel'!B134</f>
        <v>Kadjar</v>
      </c>
      <c r="C141" s="407" t="str">
        <f t="shared" si="15"/>
        <v>Renault Kadjar - Benzin</v>
      </c>
      <c r="D141" s="407">
        <f>'topprodukte-benzin-diesel'!O134</f>
        <v>103</v>
      </c>
      <c r="E141" s="407" t="str">
        <f>'topprodukte-benzin-diesel'!J134</f>
        <v>Benzin</v>
      </c>
      <c r="F141" s="409">
        <f t="shared" si="14"/>
        <v>55.509999999999991</v>
      </c>
      <c r="G141" s="407">
        <f>'topprodukte-benzin-diesel'!I134</f>
        <v>6.5</v>
      </c>
      <c r="H141" s="407">
        <f>'topprodukte-benzin-diesel'!K134</f>
        <v>146</v>
      </c>
      <c r="I141" s="231">
        <f>'topprodukte-benzin-diesel'!F134</f>
        <v>22890</v>
      </c>
      <c r="J141" s="408">
        <f t="shared" si="13"/>
        <v>457.8</v>
      </c>
      <c r="K141" s="408">
        <f>J141*Eingabe!$C$48</f>
        <v>137.34</v>
      </c>
      <c r="L141" s="408" t="s">
        <v>3124</v>
      </c>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row>
    <row r="142" spans="1:39" s="211" customFormat="1" ht="13.6" x14ac:dyDescent="0.25">
      <c r="A142" s="407" t="str">
        <f>'topprodukte-benzin-diesel'!A135</f>
        <v>Renault</v>
      </c>
      <c r="B142" s="407" t="str">
        <f>'topprodukte-benzin-diesel'!B135</f>
        <v>Scenic</v>
      </c>
      <c r="C142" s="407" t="str">
        <f t="shared" si="15"/>
        <v>Renault Scenic - Benzin</v>
      </c>
      <c r="D142" s="407">
        <f>'topprodukte-benzin-diesel'!O135</f>
        <v>85</v>
      </c>
      <c r="E142" s="407" t="str">
        <f>'topprodukte-benzin-diesel'!J135</f>
        <v>Benzin</v>
      </c>
      <c r="F142" s="409">
        <f t="shared" si="14"/>
        <v>56.36399999999999</v>
      </c>
      <c r="G142" s="407">
        <f>'topprodukte-benzin-diesel'!I135</f>
        <v>6.6</v>
      </c>
      <c r="H142" s="407">
        <f>'topprodukte-benzin-diesel'!K135</f>
        <v>149</v>
      </c>
      <c r="I142" s="231">
        <f>'topprodukte-benzin-diesel'!F135</f>
        <v>21390</v>
      </c>
      <c r="J142" s="408">
        <f t="shared" si="13"/>
        <v>427.8</v>
      </c>
      <c r="K142" s="408">
        <f>J142*Eingabe!$C$48</f>
        <v>128.34</v>
      </c>
      <c r="L142" s="408" t="s">
        <v>3124</v>
      </c>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row>
    <row r="143" spans="1:39" s="211" customFormat="1" ht="13.6" x14ac:dyDescent="0.25">
      <c r="A143" s="407" t="str">
        <f>'topprodukte-benzin-diesel'!A136</f>
        <v>Renault</v>
      </c>
      <c r="B143" s="407" t="str">
        <f>'topprodukte-benzin-diesel'!B136</f>
        <v>Clio</v>
      </c>
      <c r="C143" s="407" t="str">
        <f t="shared" si="15"/>
        <v>Renault Clio - Benzin</v>
      </c>
      <c r="D143" s="407">
        <f>'topprodukte-benzin-diesel'!O136</f>
        <v>63</v>
      </c>
      <c r="E143" s="407" t="str">
        <f>'topprodukte-benzin-diesel'!J136</f>
        <v>Benzin</v>
      </c>
      <c r="F143" s="409">
        <f t="shared" si="14"/>
        <v>35.867999999999995</v>
      </c>
      <c r="G143" s="407">
        <f>'topprodukte-benzin-diesel'!I136</f>
        <v>4.2</v>
      </c>
      <c r="H143" s="407">
        <f>'topprodukte-benzin-diesel'!K136</f>
        <v>109</v>
      </c>
      <c r="I143" s="231">
        <f>'topprodukte-benzin-diesel'!F136</f>
        <v>18790</v>
      </c>
      <c r="J143" s="408">
        <f t="shared" si="13"/>
        <v>281.84999999999997</v>
      </c>
      <c r="K143" s="408">
        <f>J143*Eingabe!$C$48</f>
        <v>84.554999999999993</v>
      </c>
      <c r="L143" s="408" t="s">
        <v>3124</v>
      </c>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row>
    <row r="144" spans="1:39" s="211" customFormat="1" ht="13.6" x14ac:dyDescent="0.25">
      <c r="A144" s="407" t="str">
        <f>'topprodukte-benzin-diesel'!A137</f>
        <v>Renault</v>
      </c>
      <c r="B144" s="407" t="str">
        <f>'topprodukte-benzin-diesel'!B137</f>
        <v>Megane</v>
      </c>
      <c r="C144" s="407" t="str">
        <f t="shared" si="15"/>
        <v>Renault Megane - Benzin</v>
      </c>
      <c r="D144" s="407">
        <f>'topprodukte-benzin-diesel'!O137</f>
        <v>85</v>
      </c>
      <c r="E144" s="407" t="str">
        <f>'topprodukte-benzin-diesel'!J137</f>
        <v>Benzin</v>
      </c>
      <c r="F144" s="409">
        <f t="shared" si="14"/>
        <v>38.429999999999993</v>
      </c>
      <c r="G144" s="407">
        <f>'topprodukte-benzin-diesel'!I137</f>
        <v>4.5</v>
      </c>
      <c r="H144" s="407">
        <f>'topprodukte-benzin-diesel'!K137</f>
        <v>117</v>
      </c>
      <c r="I144" s="231">
        <f>'topprodukte-benzin-diesel'!F137</f>
        <v>24090</v>
      </c>
      <c r="J144" s="408">
        <f t="shared" si="13"/>
        <v>361.34999999999997</v>
      </c>
      <c r="K144" s="408">
        <f>J144*Eingabe!$C$48</f>
        <v>108.40499999999999</v>
      </c>
      <c r="L144" s="408" t="s">
        <v>3124</v>
      </c>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row>
    <row r="145" spans="1:39" s="211" customFormat="1" ht="13.6" x14ac:dyDescent="0.25">
      <c r="A145" s="407" t="str">
        <f>'topprodukte-benzin-diesel'!A138</f>
        <v>Renault</v>
      </c>
      <c r="B145" s="407" t="str">
        <f>'topprodukte-benzin-diesel'!B138</f>
        <v>Megane Grandtour</v>
      </c>
      <c r="C145" s="407" t="str">
        <f t="shared" si="15"/>
        <v>Renault Megane Grandtour - Benzin</v>
      </c>
      <c r="D145" s="407">
        <f>'topprodukte-benzin-diesel'!O138</f>
        <v>85</v>
      </c>
      <c r="E145" s="407" t="str">
        <f>'topprodukte-benzin-diesel'!J138</f>
        <v>Benzin</v>
      </c>
      <c r="F145" s="409">
        <f t="shared" si="14"/>
        <v>38.429999999999993</v>
      </c>
      <c r="G145" s="407">
        <f>'topprodukte-benzin-diesel'!I138</f>
        <v>4.5</v>
      </c>
      <c r="H145" s="407">
        <f>'topprodukte-benzin-diesel'!K138</f>
        <v>118</v>
      </c>
      <c r="I145" s="231">
        <f>'topprodukte-benzin-diesel'!F138</f>
        <v>25090</v>
      </c>
      <c r="J145" s="408">
        <f t="shared" si="13"/>
        <v>376.34999999999997</v>
      </c>
      <c r="K145" s="408">
        <f>J145*Eingabe!$C$48</f>
        <v>112.90499999999999</v>
      </c>
      <c r="L145" s="408" t="s">
        <v>3124</v>
      </c>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row>
    <row r="146" spans="1:39" s="211" customFormat="1" ht="13.6" x14ac:dyDescent="0.25">
      <c r="A146" s="407" t="str">
        <f>'topprodukte-benzin-diesel'!A139</f>
        <v>Renault</v>
      </c>
      <c r="B146" s="407" t="str">
        <f>'topprodukte-benzin-diesel'!B139</f>
        <v>Captur</v>
      </c>
      <c r="C146" s="407" t="str">
        <f t="shared" si="15"/>
        <v>Renault Captur - Benzin</v>
      </c>
      <c r="D146" s="407">
        <f>'topprodukte-benzin-diesel'!O139</f>
        <v>85</v>
      </c>
      <c r="E146" s="407" t="str">
        <f>'topprodukte-benzin-diesel'!J139</f>
        <v>Benzin</v>
      </c>
      <c r="F146" s="409">
        <f t="shared" si="14"/>
        <v>40.137999999999998</v>
      </c>
      <c r="G146" s="407">
        <f>'topprodukte-benzin-diesel'!I139</f>
        <v>4.7</v>
      </c>
      <c r="H146" s="407">
        <f>'topprodukte-benzin-diesel'!K139</f>
        <v>123</v>
      </c>
      <c r="I146" s="231">
        <f>'topprodukte-benzin-diesel'!F139</f>
        <v>24890</v>
      </c>
      <c r="J146" s="408">
        <f t="shared" si="13"/>
        <v>373.34999999999997</v>
      </c>
      <c r="K146" s="408">
        <f>J146*Eingabe!$C$48</f>
        <v>112.00499999999998</v>
      </c>
      <c r="L146" s="408" t="s">
        <v>3124</v>
      </c>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row>
    <row r="147" spans="1:39" s="211" customFormat="1" ht="13.6" x14ac:dyDescent="0.25">
      <c r="A147" s="407" t="str">
        <f>'topprodukte-benzin-diesel'!A140</f>
        <v>Renault</v>
      </c>
      <c r="B147" s="407" t="str">
        <f>'topprodukte-benzin-diesel'!B140</f>
        <v>Kadjar</v>
      </c>
      <c r="C147" s="407" t="str">
        <f t="shared" si="15"/>
        <v>Renault Kadjar - Benzin</v>
      </c>
      <c r="D147" s="407">
        <f>'topprodukte-benzin-diesel'!O140</f>
        <v>85</v>
      </c>
      <c r="E147" s="407" t="str">
        <f>'topprodukte-benzin-diesel'!J140</f>
        <v>Benzin</v>
      </c>
      <c r="F147" s="409">
        <f t="shared" si="14"/>
        <v>42.699999999999996</v>
      </c>
      <c r="G147" s="407">
        <f>'topprodukte-benzin-diesel'!I140</f>
        <v>5</v>
      </c>
      <c r="H147" s="407">
        <f>'topprodukte-benzin-diesel'!K140</f>
        <v>131</v>
      </c>
      <c r="I147" s="231">
        <f>'topprodukte-benzin-diesel'!F140</f>
        <v>27090</v>
      </c>
      <c r="J147" s="408">
        <f t="shared" si="13"/>
        <v>406.34999999999997</v>
      </c>
      <c r="K147" s="408">
        <f>J147*Eingabe!$C$48</f>
        <v>121.90499999999999</v>
      </c>
      <c r="L147" s="408" t="s">
        <v>3124</v>
      </c>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row>
    <row r="148" spans="1:39" s="211" customFormat="1" ht="13.6" x14ac:dyDescent="0.25">
      <c r="A148" s="407" t="str">
        <f>'topprodukte-benzin-diesel'!A141</f>
        <v>Renault</v>
      </c>
      <c r="B148" s="407" t="str">
        <f>'topprodukte-benzin-diesel'!B141</f>
        <v>Clio</v>
      </c>
      <c r="C148" s="407" t="str">
        <f t="shared" si="15"/>
        <v>Renault Clio - Diesel</v>
      </c>
      <c r="D148" s="407">
        <f>'topprodukte-benzin-diesel'!O141</f>
        <v>63</v>
      </c>
      <c r="E148" s="407" t="str">
        <f>'topprodukte-benzin-diesel'!J141</f>
        <v>Diesel</v>
      </c>
      <c r="F148" s="409">
        <f t="shared" si="14"/>
        <v>42.447300000000006</v>
      </c>
      <c r="G148" s="407">
        <f>'topprodukte-benzin-diesel'!I141</f>
        <v>4.2</v>
      </c>
      <c r="H148" s="407">
        <f>'topprodukte-benzin-diesel'!K141</f>
        <v>109</v>
      </c>
      <c r="I148" s="231">
        <f>'topprodukte-benzin-diesel'!F141</f>
        <v>18790</v>
      </c>
      <c r="J148" s="408">
        <f t="shared" si="13"/>
        <v>281.84999999999997</v>
      </c>
      <c r="K148" s="408">
        <f>J148*Eingabe!$C$48</f>
        <v>84.554999999999993</v>
      </c>
      <c r="L148" s="408" t="s">
        <v>3124</v>
      </c>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row>
    <row r="149" spans="1:39" s="211" customFormat="1" ht="13.6" x14ac:dyDescent="0.25">
      <c r="A149" s="407" t="str">
        <f>'topprodukte-benzin-diesel'!A142</f>
        <v>Renault</v>
      </c>
      <c r="B149" s="407" t="str">
        <f>'topprodukte-benzin-diesel'!B142</f>
        <v>Megane</v>
      </c>
      <c r="C149" s="407" t="str">
        <f t="shared" si="15"/>
        <v>Renault Megane - Diesel</v>
      </c>
      <c r="D149" s="407">
        <f>'topprodukte-benzin-diesel'!O142</f>
        <v>85</v>
      </c>
      <c r="E149" s="407" t="str">
        <f>'topprodukte-benzin-diesel'!J142</f>
        <v>Diesel</v>
      </c>
      <c r="F149" s="409">
        <f t="shared" si="14"/>
        <v>45.47925</v>
      </c>
      <c r="G149" s="407">
        <f>'topprodukte-benzin-diesel'!I142</f>
        <v>4.5</v>
      </c>
      <c r="H149" s="407">
        <f>'topprodukte-benzin-diesel'!K142</f>
        <v>117</v>
      </c>
      <c r="I149" s="231">
        <f>'topprodukte-benzin-diesel'!F142</f>
        <v>24090</v>
      </c>
      <c r="J149" s="408">
        <f t="shared" si="13"/>
        <v>361.34999999999997</v>
      </c>
      <c r="K149" s="408">
        <f>J149*Eingabe!$C$48</f>
        <v>108.40499999999999</v>
      </c>
      <c r="L149" s="408" t="s">
        <v>3124</v>
      </c>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row>
    <row r="150" spans="1:39" s="211" customFormat="1" ht="13.6" x14ac:dyDescent="0.25">
      <c r="A150" s="407" t="str">
        <f>'topprodukte-benzin-diesel'!A143</f>
        <v>Renault</v>
      </c>
      <c r="B150" s="407" t="str">
        <f>'topprodukte-benzin-diesel'!B143</f>
        <v>Megane Grandtour</v>
      </c>
      <c r="C150" s="407" t="str">
        <f t="shared" si="15"/>
        <v>Renault Megane Grandtour - Diesel</v>
      </c>
      <c r="D150" s="407">
        <f>'topprodukte-benzin-diesel'!O143</f>
        <v>85</v>
      </c>
      <c r="E150" s="407" t="str">
        <f>'topprodukte-benzin-diesel'!J143</f>
        <v>Diesel</v>
      </c>
      <c r="F150" s="409">
        <f t="shared" si="14"/>
        <v>45.47925</v>
      </c>
      <c r="G150" s="407">
        <f>'topprodukte-benzin-diesel'!I143</f>
        <v>4.5</v>
      </c>
      <c r="H150" s="407">
        <f>'topprodukte-benzin-diesel'!K143</f>
        <v>118</v>
      </c>
      <c r="I150" s="231">
        <f>'topprodukte-benzin-diesel'!F143</f>
        <v>25090</v>
      </c>
      <c r="J150" s="408">
        <f t="shared" si="13"/>
        <v>376.34999999999997</v>
      </c>
      <c r="K150" s="408">
        <f>J150*Eingabe!$C$48</f>
        <v>112.90499999999999</v>
      </c>
      <c r="L150" s="408" t="s">
        <v>3124</v>
      </c>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row>
    <row r="151" spans="1:39" s="211" customFormat="1" ht="13.6" x14ac:dyDescent="0.25">
      <c r="A151" s="407" t="str">
        <f>'topprodukte-benzin-diesel'!A144</f>
        <v>Renault</v>
      </c>
      <c r="B151" s="407" t="str">
        <f>'topprodukte-benzin-diesel'!B144</f>
        <v>Captur</v>
      </c>
      <c r="C151" s="407" t="str">
        <f t="shared" si="15"/>
        <v>Renault Captur - Diesel</v>
      </c>
      <c r="D151" s="407">
        <f>'topprodukte-benzin-diesel'!O144</f>
        <v>85</v>
      </c>
      <c r="E151" s="407" t="str">
        <f>'topprodukte-benzin-diesel'!J144</f>
        <v>Diesel</v>
      </c>
      <c r="F151" s="409">
        <f t="shared" si="14"/>
        <v>47.500550000000004</v>
      </c>
      <c r="G151" s="407">
        <f>'topprodukte-benzin-diesel'!I144</f>
        <v>4.7</v>
      </c>
      <c r="H151" s="407">
        <f>'topprodukte-benzin-diesel'!K144</f>
        <v>123</v>
      </c>
      <c r="I151" s="231">
        <f>'topprodukte-benzin-diesel'!F144</f>
        <v>24890</v>
      </c>
      <c r="J151" s="408">
        <f t="shared" si="13"/>
        <v>373.34999999999997</v>
      </c>
      <c r="K151" s="408">
        <f>J151*Eingabe!$C$48</f>
        <v>112.00499999999998</v>
      </c>
      <c r="L151" s="408" t="s">
        <v>3124</v>
      </c>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row>
    <row r="152" spans="1:39" s="211" customFormat="1" ht="13.6" x14ac:dyDescent="0.25">
      <c r="A152" s="407" t="str">
        <f>'topprodukte-benzin-diesel'!A145</f>
        <v>Seat</v>
      </c>
      <c r="B152" s="407" t="str">
        <f>'topprodukte-benzin-diesel'!B145</f>
        <v>Ibiza</v>
      </c>
      <c r="C152" s="407" t="str">
        <f t="shared" ref="C152:C183" si="16">CONCATENATE(A152," ",B152," - ",E152)</f>
        <v>Seat Ibiza - Benzin</v>
      </c>
      <c r="D152" s="407">
        <f>'topprodukte-benzin-diesel'!O145</f>
        <v>59</v>
      </c>
      <c r="E152" s="407" t="str">
        <f>'topprodukte-benzin-diesel'!J145</f>
        <v>Benzin</v>
      </c>
      <c r="F152" s="409">
        <f t="shared" ref="F152:F183" si="17">IF(E152="Benzin",$O$3*G152,$O$4*G152)</f>
        <v>46.116</v>
      </c>
      <c r="G152" s="407">
        <f>'topprodukte-benzin-diesel'!I145</f>
        <v>5.4</v>
      </c>
      <c r="H152" s="407">
        <f>'topprodukte-benzin-diesel'!K145</f>
        <v>122</v>
      </c>
      <c r="I152" s="231">
        <f>'topprodukte-benzin-diesel'!F145</f>
        <v>12990</v>
      </c>
      <c r="J152" s="408">
        <f t="shared" ref="J152:J183" si="18">IF(H152&gt;$U$4,IF(I152*0.02&gt;960,960,I152*0.02),IF(H152&gt;0,IF(I152*0.015&gt;720,720,I152*0.015),0))</f>
        <v>194.85</v>
      </c>
      <c r="K152" s="408">
        <f>J152*Eingabe!$C$48</f>
        <v>58.454999999999998</v>
      </c>
      <c r="L152" s="408" t="s">
        <v>3124</v>
      </c>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row>
    <row r="153" spans="1:39" s="211" customFormat="1" ht="13.6" x14ac:dyDescent="0.25">
      <c r="A153" s="407" t="str">
        <f>'topprodukte-benzin-diesel'!A146</f>
        <v>Seat</v>
      </c>
      <c r="B153" s="407" t="str">
        <f>'topprodukte-benzin-diesel'!B146</f>
        <v>Leon</v>
      </c>
      <c r="C153" s="407" t="str">
        <f t="shared" si="16"/>
        <v>Seat Leon - Benzin</v>
      </c>
      <c r="D153" s="407">
        <f>'topprodukte-benzin-diesel'!O146</f>
        <v>81</v>
      </c>
      <c r="E153" s="407" t="str">
        <f>'topprodukte-benzin-diesel'!J146</f>
        <v>Benzin</v>
      </c>
      <c r="F153" s="409">
        <f t="shared" si="17"/>
        <v>46.116</v>
      </c>
      <c r="G153" s="407">
        <f>'topprodukte-benzin-diesel'!I146</f>
        <v>5.4</v>
      </c>
      <c r="H153" s="407">
        <f>'topprodukte-benzin-diesel'!K146</f>
        <v>122</v>
      </c>
      <c r="I153" s="231">
        <f>'topprodukte-benzin-diesel'!F146</f>
        <v>19990</v>
      </c>
      <c r="J153" s="408">
        <f t="shared" si="18"/>
        <v>299.84999999999997</v>
      </c>
      <c r="K153" s="408">
        <f>J153*Eingabe!$C$48</f>
        <v>89.954999999999984</v>
      </c>
      <c r="L153" s="408" t="s">
        <v>3124</v>
      </c>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row>
    <row r="154" spans="1:39" s="211" customFormat="1" ht="13.6" x14ac:dyDescent="0.25">
      <c r="A154" s="407" t="str">
        <f>'topprodukte-benzin-diesel'!A147</f>
        <v>Seat</v>
      </c>
      <c r="B154" s="407" t="str">
        <f>'topprodukte-benzin-diesel'!B147</f>
        <v>Arona</v>
      </c>
      <c r="C154" s="407" t="str">
        <f t="shared" si="16"/>
        <v>Seat Arona - Benzin</v>
      </c>
      <c r="D154" s="407">
        <f>'topprodukte-benzin-diesel'!O147</f>
        <v>70</v>
      </c>
      <c r="E154" s="407" t="str">
        <f>'topprodukte-benzin-diesel'!J147</f>
        <v>Benzin</v>
      </c>
      <c r="F154" s="409">
        <f t="shared" si="17"/>
        <v>47.823999999999991</v>
      </c>
      <c r="G154" s="407">
        <f>'topprodukte-benzin-diesel'!I147</f>
        <v>5.6</v>
      </c>
      <c r="H154" s="407">
        <f>'topprodukte-benzin-diesel'!K147</f>
        <v>128</v>
      </c>
      <c r="I154" s="231">
        <f>'topprodukte-benzin-diesel'!F147</f>
        <v>16690</v>
      </c>
      <c r="J154" s="408">
        <f t="shared" si="18"/>
        <v>250.35</v>
      </c>
      <c r="K154" s="408">
        <f>J154*Eingabe!$C$48</f>
        <v>75.10499999999999</v>
      </c>
      <c r="L154" s="408" t="s">
        <v>3124</v>
      </c>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row>
    <row r="155" spans="1:39" s="211" customFormat="1" ht="13.6" x14ac:dyDescent="0.25">
      <c r="A155" s="407" t="str">
        <f>'topprodukte-benzin-diesel'!A148</f>
        <v>Seat</v>
      </c>
      <c r="B155" s="407" t="str">
        <f>'topprodukte-benzin-diesel'!B148</f>
        <v>Ateca</v>
      </c>
      <c r="C155" s="407" t="str">
        <f t="shared" si="16"/>
        <v>Seat Ateca - Benzin</v>
      </c>
      <c r="D155" s="407">
        <f>'topprodukte-benzin-diesel'!O148</f>
        <v>85</v>
      </c>
      <c r="E155" s="407" t="str">
        <f>'topprodukte-benzin-diesel'!J148</f>
        <v>Benzin</v>
      </c>
      <c r="F155" s="409">
        <f t="shared" si="17"/>
        <v>55.509999999999991</v>
      </c>
      <c r="G155" s="407">
        <f>'topprodukte-benzin-diesel'!I148</f>
        <v>6.5</v>
      </c>
      <c r="H155" s="407">
        <f>'topprodukte-benzin-diesel'!K148</f>
        <v>146</v>
      </c>
      <c r="I155" s="231">
        <f>'topprodukte-benzin-diesel'!F148</f>
        <v>16690</v>
      </c>
      <c r="J155" s="408">
        <f t="shared" si="18"/>
        <v>333.8</v>
      </c>
      <c r="K155" s="408">
        <f>J155*Eingabe!$C$48</f>
        <v>100.14</v>
      </c>
      <c r="L155" s="408" t="s">
        <v>3124</v>
      </c>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row>
    <row r="156" spans="1:39" s="211" customFormat="1" ht="13.6" x14ac:dyDescent="0.25">
      <c r="A156" s="407" t="str">
        <f>'topprodukte-benzin-diesel'!A149</f>
        <v>Seat</v>
      </c>
      <c r="B156" s="407" t="str">
        <f>'topprodukte-benzin-diesel'!B149</f>
        <v>Alhambra</v>
      </c>
      <c r="C156" s="407" t="str">
        <f t="shared" si="16"/>
        <v>Seat Alhambra - Benzin</v>
      </c>
      <c r="D156" s="407">
        <f>'topprodukte-benzin-diesel'!O149</f>
        <v>110</v>
      </c>
      <c r="E156" s="407" t="str">
        <f>'topprodukte-benzin-diesel'!J149</f>
        <v>Benzin</v>
      </c>
      <c r="F156" s="409">
        <f t="shared" si="17"/>
        <v>55.509999999999991</v>
      </c>
      <c r="G156" s="407">
        <f>'topprodukte-benzin-diesel'!I149</f>
        <v>6.5</v>
      </c>
      <c r="H156" s="407">
        <f>'topprodukte-benzin-diesel'!K149</f>
        <v>150</v>
      </c>
      <c r="I156" s="231">
        <f>'topprodukte-benzin-diesel'!F149</f>
        <v>40130</v>
      </c>
      <c r="J156" s="408">
        <f t="shared" si="18"/>
        <v>802.6</v>
      </c>
      <c r="K156" s="408">
        <f>J156*Eingabe!$C$48</f>
        <v>240.78</v>
      </c>
      <c r="L156" s="408" t="s">
        <v>3124</v>
      </c>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row>
    <row r="157" spans="1:39" s="211" customFormat="1" ht="13.6" x14ac:dyDescent="0.25">
      <c r="A157" s="407" t="str">
        <f>'topprodukte-benzin-diesel'!A150</f>
        <v>Seat</v>
      </c>
      <c r="B157" s="407" t="str">
        <f>'topprodukte-benzin-diesel'!B150</f>
        <v>Arona</v>
      </c>
      <c r="C157" s="407" t="str">
        <f t="shared" si="16"/>
        <v>Seat Arona - Benzin</v>
      </c>
      <c r="D157" s="407">
        <f>'topprodukte-benzin-diesel'!O150</f>
        <v>70</v>
      </c>
      <c r="E157" s="407" t="str">
        <f>'topprodukte-benzin-diesel'!J150</f>
        <v>Benzin</v>
      </c>
      <c r="F157" s="409">
        <f t="shared" si="17"/>
        <v>40.991999999999997</v>
      </c>
      <c r="G157" s="407">
        <f>'topprodukte-benzin-diesel'!I150</f>
        <v>4.8</v>
      </c>
      <c r="H157" s="407">
        <f>'topprodukte-benzin-diesel'!K150</f>
        <v>125</v>
      </c>
      <c r="I157" s="231">
        <f>'topprodukte-benzin-diesel'!F150</f>
        <v>19990</v>
      </c>
      <c r="J157" s="408">
        <f t="shared" si="18"/>
        <v>299.84999999999997</v>
      </c>
      <c r="K157" s="408">
        <f>J157*Eingabe!$C$48</f>
        <v>89.954999999999984</v>
      </c>
      <c r="L157" s="408" t="s">
        <v>3124</v>
      </c>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row>
    <row r="158" spans="1:39" s="211" customFormat="1" ht="13.6" x14ac:dyDescent="0.25">
      <c r="A158" s="407" t="str">
        <f>'topprodukte-benzin-diesel'!A151</f>
        <v>Seat</v>
      </c>
      <c r="B158" s="407" t="str">
        <f>'topprodukte-benzin-diesel'!B151</f>
        <v>Ateca</v>
      </c>
      <c r="C158" s="407" t="str">
        <f t="shared" si="16"/>
        <v>Seat Ateca - Benzin</v>
      </c>
      <c r="D158" s="407">
        <f>'topprodukte-benzin-diesel'!O151</f>
        <v>85</v>
      </c>
      <c r="E158" s="407" t="str">
        <f>'topprodukte-benzin-diesel'!J151</f>
        <v>Benzin</v>
      </c>
      <c r="F158" s="409">
        <f t="shared" si="17"/>
        <v>42.699999999999996</v>
      </c>
      <c r="G158" s="407">
        <f>'topprodukte-benzin-diesel'!I151</f>
        <v>5</v>
      </c>
      <c r="H158" s="407">
        <f>'topprodukte-benzin-diesel'!K151</f>
        <v>139</v>
      </c>
      <c r="I158" s="231">
        <f>'topprodukte-benzin-diesel'!F151</f>
        <v>25880</v>
      </c>
      <c r="J158" s="408">
        <f t="shared" si="18"/>
        <v>517.6</v>
      </c>
      <c r="K158" s="408">
        <f>J158*Eingabe!$C$48</f>
        <v>155.28</v>
      </c>
      <c r="L158" s="408" t="s">
        <v>3124</v>
      </c>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row>
    <row r="159" spans="1:39" s="211" customFormat="1" ht="13.6" x14ac:dyDescent="0.25">
      <c r="A159" s="407" t="str">
        <f>'topprodukte-benzin-diesel'!A152</f>
        <v>Seat</v>
      </c>
      <c r="B159" s="407" t="str">
        <f>'topprodukte-benzin-diesel'!B152</f>
        <v>Arona</v>
      </c>
      <c r="C159" s="407" t="str">
        <f t="shared" si="16"/>
        <v>Seat Arona - Diesel</v>
      </c>
      <c r="D159" s="407">
        <f>'topprodukte-benzin-diesel'!O152</f>
        <v>70</v>
      </c>
      <c r="E159" s="407" t="str">
        <f>'topprodukte-benzin-diesel'!J152</f>
        <v>Diesel</v>
      </c>
      <c r="F159" s="409">
        <f t="shared" si="17"/>
        <v>48.511200000000002</v>
      </c>
      <c r="G159" s="407">
        <f>'topprodukte-benzin-diesel'!I152</f>
        <v>4.8</v>
      </c>
      <c r="H159" s="407">
        <f>'topprodukte-benzin-diesel'!K152</f>
        <v>125</v>
      </c>
      <c r="I159" s="231">
        <f>'topprodukte-benzin-diesel'!F152</f>
        <v>19990</v>
      </c>
      <c r="J159" s="408">
        <f t="shared" si="18"/>
        <v>299.84999999999997</v>
      </c>
      <c r="K159" s="408">
        <f>J159*Eingabe!$C$48</f>
        <v>89.954999999999984</v>
      </c>
      <c r="L159" s="408" t="s">
        <v>3124</v>
      </c>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row>
    <row r="160" spans="1:39" s="211" customFormat="1" ht="13.6" x14ac:dyDescent="0.25">
      <c r="A160" s="407" t="str">
        <f>'topprodukte-benzin-diesel'!A153</f>
        <v>Skoda</v>
      </c>
      <c r="B160" s="407" t="str">
        <f>'topprodukte-benzin-diesel'!B153</f>
        <v>Fabia</v>
      </c>
      <c r="C160" s="407" t="str">
        <f t="shared" si="16"/>
        <v>Skoda Fabia - Benzin</v>
      </c>
      <c r="D160" s="407">
        <f>'topprodukte-benzin-diesel'!O153</f>
        <v>70</v>
      </c>
      <c r="E160" s="407" t="str">
        <f>'topprodukte-benzin-diesel'!J153</f>
        <v>Benzin</v>
      </c>
      <c r="F160" s="409">
        <f t="shared" si="17"/>
        <v>46.116</v>
      </c>
      <c r="G160" s="407">
        <f>'topprodukte-benzin-diesel'!I153</f>
        <v>5.4</v>
      </c>
      <c r="H160" s="407">
        <f>'topprodukte-benzin-diesel'!K153</f>
        <v>123</v>
      </c>
      <c r="I160" s="231">
        <f>'topprodukte-benzin-diesel'!F153</f>
        <v>13240</v>
      </c>
      <c r="J160" s="408">
        <f t="shared" si="18"/>
        <v>198.6</v>
      </c>
      <c r="K160" s="408">
        <f>J160*Eingabe!$C$48</f>
        <v>59.58</v>
      </c>
      <c r="L160" s="408" t="s">
        <v>3124</v>
      </c>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row>
    <row r="161" spans="1:39" s="211" customFormat="1" ht="13.6" x14ac:dyDescent="0.25">
      <c r="A161" s="407" t="str">
        <f>'topprodukte-benzin-diesel'!A154</f>
        <v>Skoda</v>
      </c>
      <c r="B161" s="407" t="str">
        <f>'topprodukte-benzin-diesel'!B154</f>
        <v>Fabia Combi</v>
      </c>
      <c r="C161" s="407" t="str">
        <f t="shared" si="16"/>
        <v>Skoda Fabia Combi - Benzin</v>
      </c>
      <c r="D161" s="407">
        <f>'topprodukte-benzin-diesel'!O154</f>
        <v>70</v>
      </c>
      <c r="E161" s="407" t="str">
        <f>'topprodukte-benzin-diesel'!J154</f>
        <v>Benzin</v>
      </c>
      <c r="F161" s="409">
        <f t="shared" si="17"/>
        <v>45.261999999999993</v>
      </c>
      <c r="G161" s="407">
        <f>'topprodukte-benzin-diesel'!I154</f>
        <v>5.3</v>
      </c>
      <c r="H161" s="407">
        <f>'topprodukte-benzin-diesel'!K154</f>
        <v>119</v>
      </c>
      <c r="I161" s="231">
        <f>'topprodukte-benzin-diesel'!F154</f>
        <v>13590</v>
      </c>
      <c r="J161" s="408">
        <f t="shared" si="18"/>
        <v>203.85</v>
      </c>
      <c r="K161" s="408">
        <f>J161*Eingabe!$C$48</f>
        <v>61.154999999999994</v>
      </c>
      <c r="L161" s="408" t="s">
        <v>3124</v>
      </c>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row>
    <row r="162" spans="1:39" s="211" customFormat="1" ht="13.6" x14ac:dyDescent="0.25">
      <c r="A162" s="407" t="str">
        <f>'topprodukte-benzin-diesel'!A155</f>
        <v>Skoda</v>
      </c>
      <c r="B162" s="407" t="str">
        <f>'topprodukte-benzin-diesel'!B155</f>
        <v>Scala</v>
      </c>
      <c r="C162" s="407" t="str">
        <f t="shared" si="16"/>
        <v>Skoda Scala - Benzin</v>
      </c>
      <c r="D162" s="407">
        <f>'topprodukte-benzin-diesel'!O155</f>
        <v>70</v>
      </c>
      <c r="E162" s="407" t="str">
        <f>'topprodukte-benzin-diesel'!J155</f>
        <v>Benzin</v>
      </c>
      <c r="F162" s="409">
        <f t="shared" si="17"/>
        <v>46.97</v>
      </c>
      <c r="G162" s="407">
        <f>'topprodukte-benzin-diesel'!I155</f>
        <v>5.5</v>
      </c>
      <c r="H162" s="407">
        <f>'topprodukte-benzin-diesel'!K155</f>
        <v>126</v>
      </c>
      <c r="I162" s="231">
        <f>'topprodukte-benzin-diesel'!F155</f>
        <v>18980</v>
      </c>
      <c r="J162" s="408">
        <f t="shared" si="18"/>
        <v>284.7</v>
      </c>
      <c r="K162" s="408">
        <f>J162*Eingabe!$C$48</f>
        <v>85.41</v>
      </c>
      <c r="L162" s="408" t="s">
        <v>3124</v>
      </c>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row>
    <row r="163" spans="1:39" s="211" customFormat="1" ht="13.6" x14ac:dyDescent="0.25">
      <c r="A163" s="407" t="str">
        <f>'topprodukte-benzin-diesel'!A156</f>
        <v>Skoda</v>
      </c>
      <c r="B163" s="407" t="str">
        <f>'topprodukte-benzin-diesel'!B156</f>
        <v>Octavia Combi</v>
      </c>
      <c r="C163" s="407" t="str">
        <f t="shared" si="16"/>
        <v>Skoda Octavia Combi - Benzin</v>
      </c>
      <c r="D163" s="407">
        <f>'topprodukte-benzin-diesel'!O156</f>
        <v>84</v>
      </c>
      <c r="E163" s="407" t="str">
        <f>'topprodukte-benzin-diesel'!J156</f>
        <v>Benzin</v>
      </c>
      <c r="F163" s="409">
        <f t="shared" si="17"/>
        <v>45.261999999999993</v>
      </c>
      <c r="G163" s="407">
        <f>'topprodukte-benzin-diesel'!I156</f>
        <v>5.3</v>
      </c>
      <c r="H163" s="407">
        <f>'topprodukte-benzin-diesel'!K156</f>
        <v>120</v>
      </c>
      <c r="I163" s="231">
        <f>'topprodukte-benzin-diesel'!F156</f>
        <v>26880</v>
      </c>
      <c r="J163" s="408">
        <f t="shared" si="18"/>
        <v>403.2</v>
      </c>
      <c r="K163" s="408">
        <f>J163*Eingabe!$C$48</f>
        <v>120.96</v>
      </c>
      <c r="L163" s="408" t="s">
        <v>3124</v>
      </c>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row>
    <row r="164" spans="1:39" s="211" customFormat="1" ht="13.6" x14ac:dyDescent="0.25">
      <c r="A164" s="407" t="str">
        <f>'topprodukte-benzin-diesel'!A157</f>
        <v>Skoda</v>
      </c>
      <c r="B164" s="407" t="str">
        <f>'topprodukte-benzin-diesel'!B157</f>
        <v>Superb</v>
      </c>
      <c r="C164" s="407" t="str">
        <f t="shared" si="16"/>
        <v>Skoda Superb - Benzin</v>
      </c>
      <c r="D164" s="407">
        <f>'topprodukte-benzin-diesel'!O157</f>
        <v>110</v>
      </c>
      <c r="E164" s="407" t="str">
        <f>'topprodukte-benzin-diesel'!J157</f>
        <v>Benzin</v>
      </c>
      <c r="F164" s="409">
        <f t="shared" si="17"/>
        <v>52.947999999999993</v>
      </c>
      <c r="G164" s="407">
        <f>'topprodukte-benzin-diesel'!I157</f>
        <v>6.2</v>
      </c>
      <c r="H164" s="407">
        <f>'topprodukte-benzin-diesel'!K157</f>
        <v>141</v>
      </c>
      <c r="I164" s="231">
        <f>'topprodukte-benzin-diesel'!F157</f>
        <v>33840</v>
      </c>
      <c r="J164" s="408">
        <f t="shared" si="18"/>
        <v>676.80000000000007</v>
      </c>
      <c r="K164" s="408">
        <f>J164*Eingabe!$C$48</f>
        <v>203.04000000000002</v>
      </c>
      <c r="L164" s="408" t="s">
        <v>3124</v>
      </c>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row>
    <row r="165" spans="1:39" s="211" customFormat="1" ht="13.6" x14ac:dyDescent="0.25">
      <c r="A165" s="407" t="str">
        <f>'topprodukte-benzin-diesel'!A158</f>
        <v>Skoda</v>
      </c>
      <c r="B165" s="407" t="str">
        <f>'topprodukte-benzin-diesel'!B158</f>
        <v>Karoq</v>
      </c>
      <c r="C165" s="407" t="str">
        <f t="shared" si="16"/>
        <v>Skoda Karoq - Benzin</v>
      </c>
      <c r="D165" s="407">
        <f>'topprodukte-benzin-diesel'!O158</f>
        <v>85</v>
      </c>
      <c r="E165" s="407" t="str">
        <f>'topprodukte-benzin-diesel'!J158</f>
        <v>Benzin</v>
      </c>
      <c r="F165" s="409">
        <f t="shared" si="17"/>
        <v>53.801999999999992</v>
      </c>
      <c r="G165" s="407">
        <f>'topprodukte-benzin-diesel'!I158</f>
        <v>6.3</v>
      </c>
      <c r="H165" s="407">
        <f>'topprodukte-benzin-diesel'!K158</f>
        <v>142</v>
      </c>
      <c r="I165" s="231">
        <f>'topprodukte-benzin-diesel'!F158</f>
        <v>23980</v>
      </c>
      <c r="J165" s="408">
        <f t="shared" si="18"/>
        <v>479.6</v>
      </c>
      <c r="K165" s="408">
        <f>J165*Eingabe!$C$48</f>
        <v>143.88</v>
      </c>
      <c r="L165" s="408" t="s">
        <v>3124</v>
      </c>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row>
    <row r="166" spans="1:39" ht="13.6" x14ac:dyDescent="0.25">
      <c r="A166" s="407" t="str">
        <f>'topprodukte-benzin-diesel'!A159</f>
        <v>Skoda</v>
      </c>
      <c r="B166" s="407" t="str">
        <f>'topprodukte-benzin-diesel'!B159</f>
        <v>Octavia Combi</v>
      </c>
      <c r="C166" s="407" t="str">
        <f t="shared" si="16"/>
        <v>Skoda Octavia Combi - Benzin</v>
      </c>
      <c r="D166" s="407">
        <f>'topprodukte-benzin-diesel'!O159</f>
        <v>85</v>
      </c>
      <c r="E166" s="407" t="str">
        <f>'topprodukte-benzin-diesel'!J159</f>
        <v>Benzin</v>
      </c>
      <c r="F166" s="409">
        <f t="shared" si="17"/>
        <v>37.576000000000001</v>
      </c>
      <c r="G166" s="407">
        <f>'topprodukte-benzin-diesel'!I159</f>
        <v>4.4000000000000004</v>
      </c>
      <c r="H166" s="407">
        <f>'topprodukte-benzin-diesel'!K159</f>
        <v>117</v>
      </c>
      <c r="I166" s="231">
        <f>'topprodukte-benzin-diesel'!F159</f>
        <v>29970</v>
      </c>
      <c r="J166" s="408">
        <f t="shared" si="18"/>
        <v>449.55</v>
      </c>
      <c r="K166" s="408">
        <f>J166*Eingabe!$C$48</f>
        <v>134.86500000000001</v>
      </c>
      <c r="L166" s="408" t="s">
        <v>3124</v>
      </c>
    </row>
    <row r="167" spans="1:39" ht="13.6" x14ac:dyDescent="0.25">
      <c r="A167" s="407" t="str">
        <f>'topprodukte-benzin-diesel'!A160</f>
        <v>Skoda</v>
      </c>
      <c r="B167" s="407" t="str">
        <f>'topprodukte-benzin-diesel'!B160</f>
        <v>Kamiq</v>
      </c>
      <c r="C167" s="407" t="str">
        <f t="shared" si="16"/>
        <v>Skoda Kamiq - Benzin</v>
      </c>
      <c r="D167" s="407">
        <f>'topprodukte-benzin-diesel'!O160</f>
        <v>85</v>
      </c>
      <c r="E167" s="407" t="str">
        <f>'topprodukte-benzin-diesel'!J160</f>
        <v>Benzin</v>
      </c>
      <c r="F167" s="409">
        <f t="shared" si="17"/>
        <v>42.699999999999996</v>
      </c>
      <c r="G167" s="407">
        <f>'topprodukte-benzin-diesel'!I160</f>
        <v>5</v>
      </c>
      <c r="H167" s="407">
        <f>'topprodukte-benzin-diesel'!K160</f>
        <v>131</v>
      </c>
      <c r="I167" s="231">
        <f>'topprodukte-benzin-diesel'!F160</f>
        <v>24050</v>
      </c>
      <c r="J167" s="408">
        <f t="shared" si="18"/>
        <v>360.75</v>
      </c>
      <c r="K167" s="408">
        <f>J167*Eingabe!$C$48</f>
        <v>108.22499999999999</v>
      </c>
      <c r="L167" s="408" t="s">
        <v>3124</v>
      </c>
    </row>
    <row r="168" spans="1:39" ht="13.6" x14ac:dyDescent="0.25">
      <c r="A168" s="407" t="str">
        <f>'topprodukte-benzin-diesel'!A161</f>
        <v>Skoda</v>
      </c>
      <c r="B168" s="407" t="str">
        <f>'topprodukte-benzin-diesel'!B161</f>
        <v>Octavia Combi</v>
      </c>
      <c r="C168" s="407" t="str">
        <f t="shared" si="16"/>
        <v>Skoda Octavia Combi - Diesel</v>
      </c>
      <c r="D168" s="407">
        <f>'topprodukte-benzin-diesel'!O161</f>
        <v>85</v>
      </c>
      <c r="E168" s="407" t="str">
        <f>'topprodukte-benzin-diesel'!J161</f>
        <v>Diesel</v>
      </c>
      <c r="F168" s="409">
        <f t="shared" si="17"/>
        <v>44.468600000000009</v>
      </c>
      <c r="G168" s="407">
        <f>'topprodukte-benzin-diesel'!I161</f>
        <v>4.4000000000000004</v>
      </c>
      <c r="H168" s="407">
        <f>'topprodukte-benzin-diesel'!K161</f>
        <v>117</v>
      </c>
      <c r="I168" s="231">
        <f>'topprodukte-benzin-diesel'!F161</f>
        <v>29970</v>
      </c>
      <c r="J168" s="408">
        <f t="shared" si="18"/>
        <v>449.55</v>
      </c>
      <c r="K168" s="408">
        <f>J168*Eingabe!$C$48</f>
        <v>134.86500000000001</v>
      </c>
      <c r="L168" s="408" t="s">
        <v>3124</v>
      </c>
    </row>
    <row r="169" spans="1:39" ht="13.6" x14ac:dyDescent="0.25">
      <c r="A169" s="407" t="str">
        <f>'topprodukte-benzin-diesel'!A162</f>
        <v>Skoda</v>
      </c>
      <c r="B169" s="407" t="str">
        <f>'topprodukte-benzin-diesel'!B162</f>
        <v>Kamiq</v>
      </c>
      <c r="C169" s="407" t="str">
        <f t="shared" si="16"/>
        <v>Skoda Kamiq - Diesel</v>
      </c>
      <c r="D169" s="407">
        <f>'topprodukte-benzin-diesel'!O162</f>
        <v>85</v>
      </c>
      <c r="E169" s="407" t="str">
        <f>'topprodukte-benzin-diesel'!J162</f>
        <v>Diesel</v>
      </c>
      <c r="F169" s="409">
        <f t="shared" si="17"/>
        <v>50.532499999999999</v>
      </c>
      <c r="G169" s="407">
        <f>'topprodukte-benzin-diesel'!I162</f>
        <v>5</v>
      </c>
      <c r="H169" s="407">
        <f>'topprodukte-benzin-diesel'!K162</f>
        <v>131</v>
      </c>
      <c r="I169" s="231">
        <f>'topprodukte-benzin-diesel'!F162</f>
        <v>24050</v>
      </c>
      <c r="J169" s="408">
        <f t="shared" si="18"/>
        <v>360.75</v>
      </c>
      <c r="K169" s="408">
        <f>J169*Eingabe!$C$48</f>
        <v>108.22499999999999</v>
      </c>
      <c r="L169" s="408" t="s">
        <v>3124</v>
      </c>
    </row>
    <row r="170" spans="1:39" ht="13.6" x14ac:dyDescent="0.25">
      <c r="A170" s="407" t="str">
        <f>'topprodukte-benzin-diesel'!A163</f>
        <v>Suzuki</v>
      </c>
      <c r="B170" s="407" t="str">
        <f>'topprodukte-benzin-diesel'!B163</f>
        <v>Swift</v>
      </c>
      <c r="C170" s="407" t="str">
        <f t="shared" si="16"/>
        <v>Suzuki Swift - Benzin</v>
      </c>
      <c r="D170" s="407">
        <f>'topprodukte-benzin-diesel'!O163</f>
        <v>66</v>
      </c>
      <c r="E170" s="407" t="str">
        <f>'topprodukte-benzin-diesel'!J163</f>
        <v>Benzin</v>
      </c>
      <c r="F170" s="409">
        <f t="shared" si="17"/>
        <v>43.553999999999995</v>
      </c>
      <c r="G170" s="407">
        <f>'topprodukte-benzin-diesel'!I163</f>
        <v>5.0999999999999996</v>
      </c>
      <c r="H170" s="407">
        <f>'topprodukte-benzin-diesel'!K163</f>
        <v>115</v>
      </c>
      <c r="I170" s="231">
        <f>'topprodukte-benzin-diesel'!F163</f>
        <v>13490</v>
      </c>
      <c r="J170" s="408">
        <f t="shared" si="18"/>
        <v>202.35</v>
      </c>
      <c r="K170" s="408">
        <f>J170*Eingabe!$C$48</f>
        <v>60.704999999999998</v>
      </c>
      <c r="L170" s="408" t="s">
        <v>3124</v>
      </c>
    </row>
    <row r="171" spans="1:39" ht="13.6" x14ac:dyDescent="0.25">
      <c r="A171" s="407" t="str">
        <f>'topprodukte-benzin-diesel'!A164</f>
        <v>Suzuki</v>
      </c>
      <c r="B171" s="407" t="str">
        <f>'topprodukte-benzin-diesel'!B164</f>
        <v>Ignis</v>
      </c>
      <c r="C171" s="407" t="str">
        <f t="shared" si="16"/>
        <v>Suzuki Ignis - Benzin</v>
      </c>
      <c r="D171" s="407">
        <f>'topprodukte-benzin-diesel'!O164</f>
        <v>66</v>
      </c>
      <c r="E171" s="407" t="str">
        <f>'topprodukte-benzin-diesel'!J164</f>
        <v>Benzin</v>
      </c>
      <c r="F171" s="409">
        <f t="shared" si="17"/>
        <v>47.823999999999991</v>
      </c>
      <c r="G171" s="407">
        <f>'topprodukte-benzin-diesel'!I164</f>
        <v>5.6</v>
      </c>
      <c r="H171" s="407">
        <f>'topprodukte-benzin-diesel'!K164</f>
        <v>126</v>
      </c>
      <c r="I171" s="231">
        <f>'topprodukte-benzin-diesel'!F164</f>
        <v>16390</v>
      </c>
      <c r="J171" s="408">
        <f t="shared" si="18"/>
        <v>245.85</v>
      </c>
      <c r="K171" s="408">
        <f>J171*Eingabe!$C$48</f>
        <v>73.754999999999995</v>
      </c>
      <c r="L171" s="408" t="s">
        <v>3124</v>
      </c>
    </row>
    <row r="172" spans="1:39" ht="13.6" x14ac:dyDescent="0.25">
      <c r="A172" s="407" t="str">
        <f>'topprodukte-benzin-diesel'!A165</f>
        <v>Suzuki</v>
      </c>
      <c r="B172" s="407" t="str">
        <f>'topprodukte-benzin-diesel'!B165</f>
        <v>Vitara</v>
      </c>
      <c r="C172" s="407" t="str">
        <f t="shared" si="16"/>
        <v>Suzuki Vitara - Benzin</v>
      </c>
      <c r="D172" s="407">
        <f>'topprodukte-benzin-diesel'!O165</f>
        <v>103</v>
      </c>
      <c r="E172" s="407" t="str">
        <f>'topprodukte-benzin-diesel'!J165</f>
        <v>Benzin</v>
      </c>
      <c r="F172" s="409">
        <f t="shared" si="17"/>
        <v>63.195999999999998</v>
      </c>
      <c r="G172" s="407">
        <f>'topprodukte-benzin-diesel'!I165</f>
        <v>7.4</v>
      </c>
      <c r="H172" s="407">
        <f>'topprodukte-benzin-diesel'!K165</f>
        <v>167</v>
      </c>
      <c r="I172" s="231">
        <f>'topprodukte-benzin-diesel'!F165</f>
        <v>26490</v>
      </c>
      <c r="J172" s="408">
        <f t="shared" si="18"/>
        <v>529.79999999999995</v>
      </c>
      <c r="K172" s="408">
        <f>J172*Eingabe!$C$48</f>
        <v>158.93999999999997</v>
      </c>
      <c r="L172" s="408" t="s">
        <v>3124</v>
      </c>
    </row>
    <row r="173" spans="1:39" ht="13.6" x14ac:dyDescent="0.25">
      <c r="A173" s="407" t="str">
        <f>'topprodukte-benzin-diesel'!A166</f>
        <v>Toyota</v>
      </c>
      <c r="B173" s="407" t="str">
        <f>'topprodukte-benzin-diesel'!B166</f>
        <v>Aygo</v>
      </c>
      <c r="C173" s="407" t="str">
        <f t="shared" si="16"/>
        <v>Toyota Aygo - Benzin</v>
      </c>
      <c r="D173" s="407">
        <f>'topprodukte-benzin-diesel'!O166</f>
        <v>53</v>
      </c>
      <c r="E173" s="407" t="str">
        <f>'topprodukte-benzin-diesel'!J166</f>
        <v>Benzin</v>
      </c>
      <c r="F173" s="409">
        <f t="shared" si="17"/>
        <v>42.699999999999996</v>
      </c>
      <c r="G173" s="407">
        <f>'topprodukte-benzin-diesel'!I166</f>
        <v>5</v>
      </c>
      <c r="H173" s="407">
        <f>'topprodukte-benzin-diesel'!K166</f>
        <v>112</v>
      </c>
      <c r="I173" s="231">
        <f>'topprodukte-benzin-diesel'!F166</f>
        <v>11490</v>
      </c>
      <c r="J173" s="408">
        <f t="shared" si="18"/>
        <v>172.35</v>
      </c>
      <c r="K173" s="408">
        <f>J173*Eingabe!$C$48</f>
        <v>51.704999999999998</v>
      </c>
      <c r="L173" s="408" t="s">
        <v>3124</v>
      </c>
    </row>
    <row r="174" spans="1:39" ht="13.6" x14ac:dyDescent="0.25">
      <c r="A174" s="407" t="str">
        <f>'topprodukte-benzin-diesel'!A167</f>
        <v>Toyota</v>
      </c>
      <c r="B174" s="407" t="str">
        <f>'topprodukte-benzin-diesel'!B167</f>
        <v>Yaris</v>
      </c>
      <c r="C174" s="407" t="str">
        <f t="shared" si="16"/>
        <v>Toyota Yaris - Benzin</v>
      </c>
      <c r="D174" s="407">
        <f>'topprodukte-benzin-diesel'!O167</f>
        <v>53</v>
      </c>
      <c r="E174" s="407" t="str">
        <f>'topprodukte-benzin-diesel'!J167</f>
        <v>Benzin</v>
      </c>
      <c r="F174" s="409">
        <f t="shared" si="17"/>
        <v>49.531999999999996</v>
      </c>
      <c r="G174" s="407">
        <f>'topprodukte-benzin-diesel'!I167</f>
        <v>5.8</v>
      </c>
      <c r="H174" s="407">
        <f>'topprodukte-benzin-diesel'!K167</f>
        <v>131</v>
      </c>
      <c r="I174" s="231">
        <f>'topprodukte-benzin-diesel'!F167</f>
        <v>13190</v>
      </c>
      <c r="J174" s="408">
        <f t="shared" si="18"/>
        <v>197.85</v>
      </c>
      <c r="K174" s="408">
        <f>J174*Eingabe!$C$48</f>
        <v>59.354999999999997</v>
      </c>
      <c r="L174" s="408" t="s">
        <v>3124</v>
      </c>
    </row>
    <row r="175" spans="1:39" ht="13.6" x14ac:dyDescent="0.25">
      <c r="A175" s="407" t="str">
        <f>'topprodukte-benzin-diesel'!A168</f>
        <v>Toyota</v>
      </c>
      <c r="B175" s="407" t="str">
        <f>'topprodukte-benzin-diesel'!B168</f>
        <v>Corolla Kombi</v>
      </c>
      <c r="C175" s="407" t="str">
        <f t="shared" si="16"/>
        <v>Toyota Corolla Kombi - Benzin</v>
      </c>
      <c r="D175" s="407">
        <f>'topprodukte-benzin-diesel'!O168</f>
        <v>85</v>
      </c>
      <c r="E175" s="407" t="str">
        <f>'topprodukte-benzin-diesel'!J168</f>
        <v>Benzin</v>
      </c>
      <c r="F175" s="409">
        <f t="shared" si="17"/>
        <v>52.947999999999993</v>
      </c>
      <c r="G175" s="407">
        <f>'topprodukte-benzin-diesel'!I168</f>
        <v>6.2</v>
      </c>
      <c r="H175" s="407">
        <f>'topprodukte-benzin-diesel'!K168</f>
        <v>140</v>
      </c>
      <c r="I175" s="231">
        <f>'topprodukte-benzin-diesel'!F168</f>
        <v>22290</v>
      </c>
      <c r="J175" s="408">
        <f t="shared" si="18"/>
        <v>445.8</v>
      </c>
      <c r="K175" s="408">
        <f>J175*Eingabe!$C$48</f>
        <v>133.74</v>
      </c>
      <c r="L175" s="408" t="s">
        <v>3124</v>
      </c>
    </row>
    <row r="176" spans="1:39" ht="13.6" x14ac:dyDescent="0.25">
      <c r="A176" s="407" t="str">
        <f>'topprodukte-benzin-diesel'!A169</f>
        <v>VW</v>
      </c>
      <c r="B176" s="407" t="str">
        <f>'topprodukte-benzin-diesel'!B169</f>
        <v>up!</v>
      </c>
      <c r="C176" s="407" t="str">
        <f t="shared" si="16"/>
        <v>VW up! - Benzin</v>
      </c>
      <c r="D176" s="407">
        <f>'topprodukte-benzin-diesel'!O169</f>
        <v>44</v>
      </c>
      <c r="E176" s="407" t="str">
        <f>'topprodukte-benzin-diesel'!J169</f>
        <v>Benzin</v>
      </c>
      <c r="F176" s="409">
        <f t="shared" si="17"/>
        <v>46.116</v>
      </c>
      <c r="G176" s="407">
        <f>'topprodukte-benzin-diesel'!I169</f>
        <v>5.4</v>
      </c>
      <c r="H176" s="407">
        <f>'topprodukte-benzin-diesel'!K169</f>
        <v>123</v>
      </c>
      <c r="I176" s="231">
        <f>'topprodukte-benzin-diesel'!F169</f>
        <v>12680</v>
      </c>
      <c r="J176" s="408">
        <f t="shared" si="18"/>
        <v>190.2</v>
      </c>
      <c r="K176" s="408">
        <f>J176*Eingabe!$C$48</f>
        <v>57.059999999999995</v>
      </c>
      <c r="L176" s="408" t="s">
        <v>3124</v>
      </c>
    </row>
    <row r="177" spans="1:12" ht="13.6" x14ac:dyDescent="0.25">
      <c r="A177" s="407" t="str">
        <f>'topprodukte-benzin-diesel'!A170</f>
        <v>VW</v>
      </c>
      <c r="B177" s="407" t="str">
        <f>'topprodukte-benzin-diesel'!B170</f>
        <v>Polo</v>
      </c>
      <c r="C177" s="407" t="str">
        <f t="shared" si="16"/>
        <v>VW Polo - Benzin</v>
      </c>
      <c r="D177" s="407">
        <f>'topprodukte-benzin-diesel'!O170</f>
        <v>85</v>
      </c>
      <c r="E177" s="407" t="str">
        <f>'topprodukte-benzin-diesel'!J170</f>
        <v>Benzin</v>
      </c>
      <c r="F177" s="409">
        <f t="shared" si="17"/>
        <v>45.261999999999993</v>
      </c>
      <c r="G177" s="407">
        <f>'topprodukte-benzin-diesel'!I170</f>
        <v>5.3</v>
      </c>
      <c r="H177" s="407">
        <f>'topprodukte-benzin-diesel'!K170</f>
        <v>120</v>
      </c>
      <c r="I177" s="231">
        <f>'topprodukte-benzin-diesel'!F170</f>
        <v>15110</v>
      </c>
      <c r="J177" s="408">
        <f t="shared" si="18"/>
        <v>226.65</v>
      </c>
      <c r="K177" s="408">
        <f>J177*Eingabe!$C$48</f>
        <v>67.995000000000005</v>
      </c>
      <c r="L177" s="408" t="s">
        <v>3124</v>
      </c>
    </row>
    <row r="178" spans="1:12" ht="13.6" x14ac:dyDescent="0.25">
      <c r="A178" s="407" t="str">
        <f>'topprodukte-benzin-diesel'!A171</f>
        <v>VW</v>
      </c>
      <c r="B178" s="407" t="str">
        <f>'topprodukte-benzin-diesel'!B171</f>
        <v>Golf</v>
      </c>
      <c r="C178" s="407" t="str">
        <f t="shared" si="16"/>
        <v>VW Golf - Benzin</v>
      </c>
      <c r="D178" s="407">
        <f>'topprodukte-benzin-diesel'!O171</f>
        <v>96</v>
      </c>
      <c r="E178" s="407" t="str">
        <f>'topprodukte-benzin-diesel'!J171</f>
        <v>Benzin</v>
      </c>
      <c r="F178" s="409">
        <f t="shared" si="17"/>
        <v>46.116</v>
      </c>
      <c r="G178" s="407">
        <f>'topprodukte-benzin-diesel'!I171</f>
        <v>5.4</v>
      </c>
      <c r="H178" s="407">
        <f>'topprodukte-benzin-diesel'!K171</f>
        <v>122</v>
      </c>
      <c r="I178" s="231">
        <f>'topprodukte-benzin-diesel'!F171</f>
        <v>26990</v>
      </c>
      <c r="J178" s="408">
        <f t="shared" si="18"/>
        <v>404.84999999999997</v>
      </c>
      <c r="K178" s="408">
        <f>J178*Eingabe!$C$48</f>
        <v>121.45499999999998</v>
      </c>
      <c r="L178" s="408" t="s">
        <v>3124</v>
      </c>
    </row>
    <row r="179" spans="1:12" ht="13.6" x14ac:dyDescent="0.25">
      <c r="A179" s="407" t="str">
        <f>'topprodukte-benzin-diesel'!A172</f>
        <v>VW</v>
      </c>
      <c r="B179" s="407" t="str">
        <f>'topprodukte-benzin-diesel'!B172</f>
        <v>Golf Variant</v>
      </c>
      <c r="C179" s="407" t="str">
        <f t="shared" si="16"/>
        <v>VW Golf Variant - Benzin</v>
      </c>
      <c r="D179" s="407">
        <f>'topprodukte-benzin-diesel'!O172</f>
        <v>85</v>
      </c>
      <c r="E179" s="407" t="str">
        <f>'topprodukte-benzin-diesel'!J172</f>
        <v>Benzin</v>
      </c>
      <c r="F179" s="409">
        <f t="shared" si="17"/>
        <v>47.823999999999991</v>
      </c>
      <c r="G179" s="407">
        <f>'topprodukte-benzin-diesel'!I172</f>
        <v>5.6</v>
      </c>
      <c r="H179" s="407">
        <f>'topprodukte-benzin-diesel'!K172</f>
        <v>126</v>
      </c>
      <c r="I179" s="231">
        <f>'topprodukte-benzin-diesel'!F172</f>
        <v>25570</v>
      </c>
      <c r="J179" s="408">
        <f t="shared" si="18"/>
        <v>383.55</v>
      </c>
      <c r="K179" s="408">
        <f>J179*Eingabe!$C$48</f>
        <v>115.065</v>
      </c>
      <c r="L179" s="408" t="s">
        <v>3124</v>
      </c>
    </row>
    <row r="180" spans="1:12" ht="13.6" x14ac:dyDescent="0.25">
      <c r="A180" s="407" t="str">
        <f>'topprodukte-benzin-diesel'!A173</f>
        <v>VW</v>
      </c>
      <c r="B180" s="407" t="str">
        <f>'topprodukte-benzin-diesel'!B173</f>
        <v>Passat</v>
      </c>
      <c r="C180" s="407" t="str">
        <f t="shared" si="16"/>
        <v>VW Passat - Benzin</v>
      </c>
      <c r="D180" s="407">
        <f>'topprodukte-benzin-diesel'!O173</f>
        <v>110</v>
      </c>
      <c r="E180" s="407" t="str">
        <f>'topprodukte-benzin-diesel'!J173</f>
        <v>Benzin</v>
      </c>
      <c r="F180" s="409">
        <f t="shared" si="17"/>
        <v>49.531999999999996</v>
      </c>
      <c r="G180" s="407">
        <f>'topprodukte-benzin-diesel'!I173</f>
        <v>5.8</v>
      </c>
      <c r="H180" s="407">
        <f>'topprodukte-benzin-diesel'!K173</f>
        <v>133</v>
      </c>
      <c r="I180" s="231">
        <f>'topprodukte-benzin-diesel'!F173</f>
        <v>32590</v>
      </c>
      <c r="J180" s="408">
        <f t="shared" si="18"/>
        <v>488.84999999999997</v>
      </c>
      <c r="K180" s="408">
        <f>J180*Eingabe!$C$48</f>
        <v>146.65499999999997</v>
      </c>
      <c r="L180" s="408" t="s">
        <v>3124</v>
      </c>
    </row>
    <row r="181" spans="1:12" ht="13.6" x14ac:dyDescent="0.25">
      <c r="A181" s="407" t="str">
        <f>'topprodukte-benzin-diesel'!A174</f>
        <v>VW</v>
      </c>
      <c r="B181" s="407" t="str">
        <f>'topprodukte-benzin-diesel'!B174</f>
        <v>T-Cross</v>
      </c>
      <c r="C181" s="407" t="str">
        <f t="shared" si="16"/>
        <v>VW T-Cross - Benzin</v>
      </c>
      <c r="D181" s="407">
        <f>'topprodukte-benzin-diesel'!O174</f>
        <v>70</v>
      </c>
      <c r="E181" s="407" t="str">
        <f>'topprodukte-benzin-diesel'!J174</f>
        <v>Benzin</v>
      </c>
      <c r="F181" s="409">
        <f t="shared" si="17"/>
        <v>50.385999999999996</v>
      </c>
      <c r="G181" s="407">
        <f>'topprodukte-benzin-diesel'!I174</f>
        <v>5.9</v>
      </c>
      <c r="H181" s="407">
        <f>'topprodukte-benzin-diesel'!K174</f>
        <v>133</v>
      </c>
      <c r="I181" s="231">
        <f>'topprodukte-benzin-diesel'!F174</f>
        <v>19790</v>
      </c>
      <c r="J181" s="408">
        <f t="shared" si="18"/>
        <v>296.84999999999997</v>
      </c>
      <c r="K181" s="408">
        <f>J181*Eingabe!$C$48</f>
        <v>89.054999999999993</v>
      </c>
      <c r="L181" s="408" t="s">
        <v>3124</v>
      </c>
    </row>
    <row r="182" spans="1:12" ht="13.6" x14ac:dyDescent="0.25">
      <c r="A182" s="407" t="str">
        <f>'topprodukte-benzin-diesel'!A175</f>
        <v>VW</v>
      </c>
      <c r="B182" s="407" t="str">
        <f>'topprodukte-benzin-diesel'!B175</f>
        <v>Golf Sportsvan</v>
      </c>
      <c r="C182" s="407" t="str">
        <f t="shared" si="16"/>
        <v>VW Golf Sportsvan - Benzin</v>
      </c>
      <c r="D182" s="407">
        <f>'topprodukte-benzin-diesel'!O175</f>
        <v>85</v>
      </c>
      <c r="E182" s="407" t="str">
        <f>'topprodukte-benzin-diesel'!J175</f>
        <v>Benzin</v>
      </c>
      <c r="F182" s="409">
        <f t="shared" si="17"/>
        <v>50.385999999999996</v>
      </c>
      <c r="G182" s="407">
        <f>'topprodukte-benzin-diesel'!I175</f>
        <v>5.9</v>
      </c>
      <c r="H182" s="407">
        <f>'topprodukte-benzin-diesel'!K175</f>
        <v>133</v>
      </c>
      <c r="I182" s="231">
        <f>'topprodukte-benzin-diesel'!F175</f>
        <v>27420</v>
      </c>
      <c r="J182" s="408">
        <f t="shared" si="18"/>
        <v>411.3</v>
      </c>
      <c r="K182" s="408">
        <f>J182*Eingabe!$C$48</f>
        <v>123.39</v>
      </c>
      <c r="L182" s="408" t="s">
        <v>3124</v>
      </c>
    </row>
    <row r="183" spans="1:12" ht="13.6" x14ac:dyDescent="0.25">
      <c r="A183" s="407" t="str">
        <f>'topprodukte-benzin-diesel'!A176</f>
        <v>VW</v>
      </c>
      <c r="B183" s="407" t="str">
        <f>'topprodukte-benzin-diesel'!B176</f>
        <v>Golf</v>
      </c>
      <c r="C183" s="407" t="str">
        <f t="shared" si="16"/>
        <v>VW Golf - Benzin</v>
      </c>
      <c r="D183" s="407">
        <f>'topprodukte-benzin-diesel'!O176</f>
        <v>85</v>
      </c>
      <c r="E183" s="407" t="str">
        <f>'topprodukte-benzin-diesel'!J176</f>
        <v>Benzin</v>
      </c>
      <c r="F183" s="409">
        <f t="shared" si="17"/>
        <v>35.013999999999996</v>
      </c>
      <c r="G183" s="407">
        <f>'topprodukte-benzin-diesel'!I176</f>
        <v>4.0999999999999996</v>
      </c>
      <c r="H183" s="407">
        <f>'topprodukte-benzin-diesel'!K176</f>
        <v>107</v>
      </c>
      <c r="I183" s="231">
        <f>'topprodukte-benzin-diesel'!F176</f>
        <v>29390</v>
      </c>
      <c r="J183" s="408">
        <f t="shared" si="18"/>
        <v>440.84999999999997</v>
      </c>
      <c r="K183" s="408">
        <f>J183*Eingabe!$C$48</f>
        <v>132.255</v>
      </c>
      <c r="L183" s="408" t="s">
        <v>3124</v>
      </c>
    </row>
    <row r="184" spans="1:12" ht="13.6" x14ac:dyDescent="0.25">
      <c r="A184" s="407" t="str">
        <f>'topprodukte-benzin-diesel'!A177</f>
        <v>VW</v>
      </c>
      <c r="B184" s="407" t="str">
        <f>'topprodukte-benzin-diesel'!B177</f>
        <v>Passat Limousine</v>
      </c>
      <c r="C184" s="407" t="str">
        <f t="shared" ref="C184" si="19">CONCATENATE(A184," ",B184," - ",E184)</f>
        <v>VW Passat Limousine - Benzin</v>
      </c>
      <c r="D184" s="407">
        <f>'topprodukte-benzin-diesel'!O177</f>
        <v>110</v>
      </c>
      <c r="E184" s="407" t="str">
        <f>'topprodukte-benzin-diesel'!J177</f>
        <v>Benzin</v>
      </c>
      <c r="F184" s="409">
        <f t="shared" ref="F184" si="20">IF(E184="Benzin",$O$3*G184,$O$4*G184)</f>
        <v>40.137999999999998</v>
      </c>
      <c r="G184" s="407">
        <f>'topprodukte-benzin-diesel'!I177</f>
        <v>4.7</v>
      </c>
      <c r="H184" s="407">
        <f>'topprodukte-benzin-diesel'!K177</f>
        <v>122</v>
      </c>
      <c r="I184" s="231">
        <f>'topprodukte-benzin-diesel'!F177</f>
        <v>36659</v>
      </c>
      <c r="J184" s="408">
        <f t="shared" ref="J184" si="21">IF(H184&gt;$U$4,IF(I184*0.02&gt;960,960,I184*0.02),IF(H184&gt;0,IF(I184*0.015&gt;720,720,I184*0.015),0))</f>
        <v>549.88499999999999</v>
      </c>
      <c r="K184" s="408">
        <f>J184*Eingabe!$C$48</f>
        <v>164.96549999999999</v>
      </c>
      <c r="L184" s="408" t="s">
        <v>3124</v>
      </c>
    </row>
    <row r="185" spans="1:12" ht="13.6" x14ac:dyDescent="0.25">
      <c r="A185" s="407" t="str">
        <f>'topprodukte-benzin-diesel'!A178</f>
        <v>VW</v>
      </c>
      <c r="B185" s="407" t="str">
        <f>'topprodukte-benzin-diesel'!B178</f>
        <v>T-Roc</v>
      </c>
      <c r="C185" s="407" t="str">
        <f t="shared" ref="C185:C189" si="22">CONCATENATE(A185," ",B185," - ",E185)</f>
        <v>VW T-Roc - Benzin</v>
      </c>
      <c r="D185" s="407">
        <f>'topprodukte-benzin-diesel'!O178</f>
        <v>85</v>
      </c>
      <c r="E185" s="407" t="str">
        <f>'topprodukte-benzin-diesel'!J178</f>
        <v>Benzin</v>
      </c>
      <c r="F185" s="409">
        <f t="shared" ref="F185:F189" si="23">IF(E185="Benzin",$O$3*G185,$O$4*G185)</f>
        <v>44.407999999999994</v>
      </c>
      <c r="G185" s="407">
        <f>'topprodukte-benzin-diesel'!I178</f>
        <v>5.2</v>
      </c>
      <c r="H185" s="407">
        <f>'topprodukte-benzin-diesel'!K178</f>
        <v>136</v>
      </c>
      <c r="I185" s="231">
        <f>'topprodukte-benzin-diesel'!F178</f>
        <v>25770</v>
      </c>
      <c r="J185" s="408">
        <f t="shared" ref="J185:J189" si="24">IF(H185&gt;$U$4,IF(I185*0.02&gt;960,960,I185*0.02),IF(H185&gt;0,IF(I185*0.015&gt;720,720,I185*0.015),0))</f>
        <v>386.55</v>
      </c>
      <c r="K185" s="408">
        <f>J185*Eingabe!$C$48</f>
        <v>115.965</v>
      </c>
      <c r="L185" s="408" t="s">
        <v>3124</v>
      </c>
    </row>
    <row r="186" spans="1:12" ht="13.6" x14ac:dyDescent="0.25">
      <c r="A186" s="407" t="str">
        <f>'topprodukte-benzin-diesel'!A179</f>
        <v>VW</v>
      </c>
      <c r="B186" s="407" t="str">
        <f>'topprodukte-benzin-diesel'!B179</f>
        <v>Golf Sportsvan</v>
      </c>
      <c r="C186" s="407" t="str">
        <f t="shared" si="22"/>
        <v>VW Golf Sportsvan - Benzin</v>
      </c>
      <c r="D186" s="407">
        <f>'topprodukte-benzin-diesel'!O179</f>
        <v>85</v>
      </c>
      <c r="E186" s="407" t="str">
        <f>'topprodukte-benzin-diesel'!J179</f>
        <v>Benzin</v>
      </c>
      <c r="F186" s="409">
        <f t="shared" si="23"/>
        <v>44.407999999999994</v>
      </c>
      <c r="G186" s="407">
        <f>'topprodukte-benzin-diesel'!I179</f>
        <v>5.2</v>
      </c>
      <c r="H186" s="407">
        <f>'topprodukte-benzin-diesel'!K179</f>
        <v>136</v>
      </c>
      <c r="I186" s="231">
        <f>'topprodukte-benzin-diesel'!F179</f>
        <v>30120</v>
      </c>
      <c r="J186" s="408">
        <f t="shared" si="24"/>
        <v>451.8</v>
      </c>
      <c r="K186" s="408">
        <f>J186*Eingabe!$C$48</f>
        <v>135.54</v>
      </c>
      <c r="L186" s="408" t="s">
        <v>3124</v>
      </c>
    </row>
    <row r="187" spans="1:12" ht="13.6" x14ac:dyDescent="0.25">
      <c r="A187" s="407" t="str">
        <f>'topprodukte-benzin-diesel'!A180</f>
        <v>VW</v>
      </c>
      <c r="B187" s="407" t="str">
        <f>'topprodukte-benzin-diesel'!B180</f>
        <v>Golf</v>
      </c>
      <c r="C187" s="407" t="str">
        <f t="shared" si="22"/>
        <v>VW Golf - Diesel</v>
      </c>
      <c r="D187" s="407">
        <f>'topprodukte-benzin-diesel'!O180</f>
        <v>85</v>
      </c>
      <c r="E187" s="407" t="str">
        <f>'topprodukte-benzin-diesel'!J180</f>
        <v>Diesel</v>
      </c>
      <c r="F187" s="409">
        <f t="shared" si="23"/>
        <v>41.43665</v>
      </c>
      <c r="G187" s="407">
        <f>'topprodukte-benzin-diesel'!I180</f>
        <v>4.0999999999999996</v>
      </c>
      <c r="H187" s="407">
        <f>'topprodukte-benzin-diesel'!K180</f>
        <v>107</v>
      </c>
      <c r="I187" s="231">
        <f>'topprodukte-benzin-diesel'!F180</f>
        <v>29390</v>
      </c>
      <c r="J187" s="408">
        <f t="shared" si="24"/>
        <v>440.84999999999997</v>
      </c>
      <c r="K187" s="408">
        <f>J187*Eingabe!$C$48</f>
        <v>132.255</v>
      </c>
      <c r="L187" s="408" t="s">
        <v>3124</v>
      </c>
    </row>
    <row r="188" spans="1:12" ht="13.6" x14ac:dyDescent="0.25">
      <c r="A188" s="407" t="str">
        <f>'topprodukte-benzin-diesel'!A181</f>
        <v>VW</v>
      </c>
      <c r="B188" s="407" t="str">
        <f>'topprodukte-benzin-diesel'!B181</f>
        <v>Passat Limousine</v>
      </c>
      <c r="C188" s="407" t="str">
        <f t="shared" si="22"/>
        <v>VW Passat Limousine - Diesel</v>
      </c>
      <c r="D188" s="407">
        <f>'topprodukte-benzin-diesel'!O181</f>
        <v>110</v>
      </c>
      <c r="E188" s="407" t="str">
        <f>'topprodukte-benzin-diesel'!J181</f>
        <v>Diesel</v>
      </c>
      <c r="F188" s="409">
        <f t="shared" si="23"/>
        <v>47.500550000000004</v>
      </c>
      <c r="G188" s="407">
        <f>'topprodukte-benzin-diesel'!I181</f>
        <v>4.7</v>
      </c>
      <c r="H188" s="407">
        <f>'topprodukte-benzin-diesel'!K181</f>
        <v>122</v>
      </c>
      <c r="I188" s="231">
        <f>'topprodukte-benzin-diesel'!F181</f>
        <v>36659</v>
      </c>
      <c r="J188" s="408">
        <f t="shared" si="24"/>
        <v>549.88499999999999</v>
      </c>
      <c r="K188" s="408">
        <f>J188*Eingabe!$C$48</f>
        <v>164.96549999999999</v>
      </c>
      <c r="L188" s="408" t="s">
        <v>3124</v>
      </c>
    </row>
    <row r="189" spans="1:12" ht="13.6" x14ac:dyDescent="0.25">
      <c r="A189" s="407" t="str">
        <f>'topprodukte-benzin-diesel'!A182</f>
        <v>VW</v>
      </c>
      <c r="B189" s="407" t="str">
        <f>'topprodukte-benzin-diesel'!B182</f>
        <v>T-Roc</v>
      </c>
      <c r="C189" s="407" t="str">
        <f t="shared" si="22"/>
        <v>VW T-Roc - Diesel</v>
      </c>
      <c r="D189" s="407">
        <f>'topprodukte-benzin-diesel'!O182</f>
        <v>85</v>
      </c>
      <c r="E189" s="407" t="str">
        <f>'topprodukte-benzin-diesel'!J182</f>
        <v>Diesel</v>
      </c>
      <c r="F189" s="409">
        <f t="shared" si="23"/>
        <v>52.553800000000003</v>
      </c>
      <c r="G189" s="407">
        <f>'topprodukte-benzin-diesel'!I182</f>
        <v>5.2</v>
      </c>
      <c r="H189" s="407">
        <f>'topprodukte-benzin-diesel'!K182</f>
        <v>136</v>
      </c>
      <c r="I189" s="231">
        <f>'topprodukte-benzin-diesel'!F182</f>
        <v>25770</v>
      </c>
      <c r="J189" s="408">
        <f t="shared" si="24"/>
        <v>386.55</v>
      </c>
      <c r="K189" s="408">
        <f>J189*Eingabe!$C$48</f>
        <v>115.965</v>
      </c>
      <c r="L189" s="408" t="s">
        <v>3124</v>
      </c>
    </row>
    <row r="190" spans="1:12" ht="13.6" x14ac:dyDescent="0.25">
      <c r="A190" s="527" t="s">
        <v>2993</v>
      </c>
      <c r="B190" s="528" t="s">
        <v>3389</v>
      </c>
      <c r="C190" s="407" t="str">
        <f t="shared" si="15"/>
        <v>Audi Q3 35 TFSi - Benzin</v>
      </c>
      <c r="D190" s="514">
        <v>110</v>
      </c>
      <c r="E190" s="515" t="s">
        <v>2500</v>
      </c>
      <c r="F190" s="409">
        <f t="shared" ref="F190:F203" si="25">IF(E190="Benzin",$O$3*G190,$O$4*G190)</f>
        <v>50.385999999999996</v>
      </c>
      <c r="G190" s="521">
        <v>5.9</v>
      </c>
      <c r="H190" s="522">
        <v>153</v>
      </c>
      <c r="I190" s="523">
        <v>38720</v>
      </c>
      <c r="J190" s="408">
        <f t="shared" si="13"/>
        <v>774.4</v>
      </c>
      <c r="K190" s="408">
        <f>J190*Eingabe!$C$48</f>
        <v>232.32</v>
      </c>
      <c r="L190" s="648" t="s">
        <v>3405</v>
      </c>
    </row>
    <row r="191" spans="1:12" ht="13.6" x14ac:dyDescent="0.25">
      <c r="A191" s="527" t="s">
        <v>2539</v>
      </c>
      <c r="B191" s="528" t="s">
        <v>3390</v>
      </c>
      <c r="C191" s="407" t="str">
        <f t="shared" si="15"/>
        <v>BMW X3 xDrive20d - Diesel</v>
      </c>
      <c r="D191" s="514">
        <v>140</v>
      </c>
      <c r="E191" s="515" t="s">
        <v>2823</v>
      </c>
      <c r="F191" s="409">
        <f t="shared" si="25"/>
        <v>59.628350000000005</v>
      </c>
      <c r="G191" s="521">
        <v>5.9</v>
      </c>
      <c r="H191" s="522">
        <v>154</v>
      </c>
      <c r="I191" s="523">
        <v>53500</v>
      </c>
      <c r="J191" s="408">
        <f t="shared" si="13"/>
        <v>960</v>
      </c>
      <c r="K191" s="408">
        <f>J191*Eingabe!$C$48</f>
        <v>288</v>
      </c>
      <c r="L191" s="648" t="s">
        <v>3405</v>
      </c>
    </row>
    <row r="192" spans="1:12" ht="13.6" x14ac:dyDescent="0.25">
      <c r="A192" s="527" t="s">
        <v>2995</v>
      </c>
      <c r="B192" s="528" t="s">
        <v>3391</v>
      </c>
      <c r="C192" s="407" t="str">
        <f t="shared" si="15"/>
        <v>Ford Edge - Diesel</v>
      </c>
      <c r="D192" s="514">
        <v>174</v>
      </c>
      <c r="E192" s="515" t="s">
        <v>2823</v>
      </c>
      <c r="F192" s="409">
        <f t="shared" si="25"/>
        <v>65.692250000000001</v>
      </c>
      <c r="G192" s="521">
        <v>6.5</v>
      </c>
      <c r="H192" s="522">
        <v>211</v>
      </c>
      <c r="I192" s="523">
        <v>62400</v>
      </c>
      <c r="J192" s="408">
        <f t="shared" si="13"/>
        <v>960</v>
      </c>
      <c r="K192" s="408">
        <f>J192*Eingabe!$C$48</f>
        <v>288</v>
      </c>
      <c r="L192" s="648" t="s">
        <v>3405</v>
      </c>
    </row>
    <row r="193" spans="1:12" ht="13.6" x14ac:dyDescent="0.25">
      <c r="A193" s="527" t="s">
        <v>3001</v>
      </c>
      <c r="B193" s="528" t="s">
        <v>3392</v>
      </c>
      <c r="C193" s="407" t="str">
        <f t="shared" si="15"/>
        <v>Honda CR-V - Benzin</v>
      </c>
      <c r="D193" s="514">
        <v>127</v>
      </c>
      <c r="E193" s="515" t="s">
        <v>2500</v>
      </c>
      <c r="F193" s="409">
        <f t="shared" si="25"/>
        <v>62.341999999999992</v>
      </c>
      <c r="G193" s="521">
        <v>7.3</v>
      </c>
      <c r="H193" s="522">
        <v>166</v>
      </c>
      <c r="I193" s="523">
        <v>31290</v>
      </c>
      <c r="J193" s="408">
        <f t="shared" si="13"/>
        <v>625.80000000000007</v>
      </c>
      <c r="K193" s="408">
        <f>J193*Eingabe!$C$48</f>
        <v>187.74</v>
      </c>
      <c r="L193" s="648" t="s">
        <v>3405</v>
      </c>
    </row>
    <row r="194" spans="1:12" ht="13.6" x14ac:dyDescent="0.25">
      <c r="A194" s="527" t="s">
        <v>3096</v>
      </c>
      <c r="B194" s="528" t="s">
        <v>3393</v>
      </c>
      <c r="C194" s="407" t="str">
        <f t="shared" si="15"/>
        <v>Hyundai Tucson - Diesel</v>
      </c>
      <c r="D194" s="514">
        <v>85</v>
      </c>
      <c r="E194" s="515" t="s">
        <v>2823</v>
      </c>
      <c r="F194" s="409">
        <f t="shared" si="25"/>
        <v>55.585750000000004</v>
      </c>
      <c r="G194" s="521">
        <v>5.5</v>
      </c>
      <c r="H194" s="522">
        <v>145</v>
      </c>
      <c r="I194" s="523">
        <v>36790</v>
      </c>
      <c r="J194" s="408">
        <f t="shared" si="13"/>
        <v>735.80000000000007</v>
      </c>
      <c r="K194" s="408">
        <f>J194*Eingabe!$C$48</f>
        <v>220.74</v>
      </c>
      <c r="L194" s="648" t="s">
        <v>3405</v>
      </c>
    </row>
    <row r="195" spans="1:12" ht="13.6" x14ac:dyDescent="0.25">
      <c r="A195" s="527" t="s">
        <v>3096</v>
      </c>
      <c r="B195" s="528" t="s">
        <v>3393</v>
      </c>
      <c r="C195" s="407" t="str">
        <f t="shared" si="15"/>
        <v>Hyundai Tucson - Benzin</v>
      </c>
      <c r="D195" s="514">
        <v>97</v>
      </c>
      <c r="E195" s="515" t="s">
        <v>2500</v>
      </c>
      <c r="F195" s="409">
        <f t="shared" si="25"/>
        <v>67.465999999999994</v>
      </c>
      <c r="G195" s="521">
        <v>7.9</v>
      </c>
      <c r="H195" s="522">
        <v>179</v>
      </c>
      <c r="I195" s="523">
        <v>27290</v>
      </c>
      <c r="J195" s="408">
        <f t="shared" si="13"/>
        <v>545.79999999999995</v>
      </c>
      <c r="K195" s="408">
        <f>J195*Eingabe!$C$48</f>
        <v>163.73999999999998</v>
      </c>
      <c r="L195" s="648" t="s">
        <v>3405</v>
      </c>
    </row>
    <row r="196" spans="1:12" ht="13.6" x14ac:dyDescent="0.25">
      <c r="A196" s="527" t="s">
        <v>2595</v>
      </c>
      <c r="B196" s="528" t="s">
        <v>3394</v>
      </c>
      <c r="C196" s="407" t="str">
        <f t="shared" si="15"/>
        <v>KIA PLATIN - Diesel</v>
      </c>
      <c r="D196" s="514">
        <v>148</v>
      </c>
      <c r="E196" s="515" t="s">
        <v>2823</v>
      </c>
      <c r="F196" s="409">
        <f t="shared" si="25"/>
        <v>65.692250000000001</v>
      </c>
      <c r="G196" s="521">
        <v>6.5</v>
      </c>
      <c r="H196" s="522">
        <v>176</v>
      </c>
      <c r="I196" s="523">
        <v>61990</v>
      </c>
      <c r="J196" s="408">
        <f t="shared" si="13"/>
        <v>960</v>
      </c>
      <c r="K196" s="408">
        <f>J196*Eingabe!$C$48</f>
        <v>288</v>
      </c>
      <c r="L196" s="648" t="s">
        <v>3405</v>
      </c>
    </row>
    <row r="197" spans="1:12" ht="13.6" x14ac:dyDescent="0.25">
      <c r="A197" s="527" t="s">
        <v>3099</v>
      </c>
      <c r="B197" s="528" t="s">
        <v>3395</v>
      </c>
      <c r="C197" s="407" t="str">
        <f t="shared" si="15"/>
        <v>Mazda CX-30 - Diesel</v>
      </c>
      <c r="D197" s="514">
        <v>85</v>
      </c>
      <c r="E197" s="515" t="s">
        <v>2823</v>
      </c>
      <c r="F197" s="409">
        <f t="shared" si="25"/>
        <v>51.543149999999997</v>
      </c>
      <c r="G197" s="521">
        <v>5.0999999999999996</v>
      </c>
      <c r="H197" s="522">
        <v>135</v>
      </c>
      <c r="I197" s="523">
        <v>28490</v>
      </c>
      <c r="J197" s="408">
        <f t="shared" si="13"/>
        <v>427.34999999999997</v>
      </c>
      <c r="K197" s="408">
        <f>J197*Eingabe!$C$48</f>
        <v>128.20499999999998</v>
      </c>
      <c r="L197" s="648" t="s">
        <v>3405</v>
      </c>
    </row>
    <row r="198" spans="1:12" ht="13.6" x14ac:dyDescent="0.25">
      <c r="A198" s="527" t="s">
        <v>3110</v>
      </c>
      <c r="B198" s="528" t="s">
        <v>3396</v>
      </c>
      <c r="C198" s="407" t="str">
        <f t="shared" si="15"/>
        <v>Seat Tarraca - Benzin</v>
      </c>
      <c r="D198" s="514">
        <v>110</v>
      </c>
      <c r="E198" s="515" t="s">
        <v>2500</v>
      </c>
      <c r="F198" s="409">
        <f t="shared" si="25"/>
        <v>66.611999999999995</v>
      </c>
      <c r="G198" s="521">
        <v>7.8</v>
      </c>
      <c r="H198" s="522">
        <v>161</v>
      </c>
      <c r="I198" s="523">
        <v>31990</v>
      </c>
      <c r="J198" s="408">
        <f t="shared" si="13"/>
        <v>639.80000000000007</v>
      </c>
      <c r="K198" s="408">
        <f>J198*Eingabe!$C$48</f>
        <v>191.94000000000003</v>
      </c>
      <c r="L198" s="648" t="s">
        <v>3405</v>
      </c>
    </row>
    <row r="199" spans="1:12" ht="13.6" x14ac:dyDescent="0.25">
      <c r="A199" s="527" t="s">
        <v>3110</v>
      </c>
      <c r="B199" s="528" t="s">
        <v>3396</v>
      </c>
      <c r="C199" s="407" t="str">
        <f t="shared" si="15"/>
        <v>Seat Tarraca - Diesel</v>
      </c>
      <c r="D199" s="514">
        <v>110</v>
      </c>
      <c r="E199" s="515" t="s">
        <v>2823</v>
      </c>
      <c r="F199" s="409">
        <f t="shared" si="25"/>
        <v>57.607050000000008</v>
      </c>
      <c r="G199" s="521">
        <v>5.7</v>
      </c>
      <c r="H199" s="522">
        <v>150</v>
      </c>
      <c r="I199" s="523">
        <v>38240</v>
      </c>
      <c r="J199" s="408">
        <f t="shared" si="13"/>
        <v>764.80000000000007</v>
      </c>
      <c r="K199" s="408">
        <f>J199*Eingabe!$C$48</f>
        <v>229.44000000000003</v>
      </c>
      <c r="L199" s="648" t="s">
        <v>3405</v>
      </c>
    </row>
    <row r="200" spans="1:12" ht="13.6" x14ac:dyDescent="0.25">
      <c r="A200" s="527" t="s">
        <v>2540</v>
      </c>
      <c r="B200" s="528" t="s">
        <v>3397</v>
      </c>
      <c r="C200" s="407" t="str">
        <f t="shared" si="15"/>
        <v>VW Tiguan - Benzin</v>
      </c>
      <c r="D200" s="514">
        <v>110</v>
      </c>
      <c r="E200" s="515" t="s">
        <v>2500</v>
      </c>
      <c r="F200" s="409">
        <f t="shared" si="25"/>
        <v>57.217999999999996</v>
      </c>
      <c r="G200" s="521">
        <v>6.7</v>
      </c>
      <c r="H200" s="522">
        <v>152</v>
      </c>
      <c r="I200" s="523">
        <v>32680</v>
      </c>
      <c r="J200" s="408">
        <f t="shared" si="13"/>
        <v>653.6</v>
      </c>
      <c r="K200" s="408">
        <f>J200*Eingabe!$C$48</f>
        <v>196.08</v>
      </c>
      <c r="L200" s="648" t="s">
        <v>3405</v>
      </c>
    </row>
    <row r="201" spans="1:12" ht="13.6" x14ac:dyDescent="0.25">
      <c r="A201" s="527" t="s">
        <v>2540</v>
      </c>
      <c r="B201" s="528" t="s">
        <v>3397</v>
      </c>
      <c r="C201" s="407" t="str">
        <f t="shared" si="15"/>
        <v>VW Tiguan - Diesel</v>
      </c>
      <c r="D201" s="514">
        <v>110</v>
      </c>
      <c r="E201" s="515" t="s">
        <v>2823</v>
      </c>
      <c r="F201" s="409">
        <f t="shared" si="25"/>
        <v>56.596399999999996</v>
      </c>
      <c r="G201" s="521">
        <v>5.6</v>
      </c>
      <c r="H201" s="522">
        <v>148</v>
      </c>
      <c r="I201" s="523">
        <v>36870</v>
      </c>
      <c r="J201" s="408">
        <f t="shared" si="13"/>
        <v>737.4</v>
      </c>
      <c r="K201" s="408">
        <f>J201*Eingabe!$C$48</f>
        <v>221.22</v>
      </c>
      <c r="L201" s="648" t="s">
        <v>3405</v>
      </c>
    </row>
    <row r="202" spans="1:12" ht="13.6" x14ac:dyDescent="0.25">
      <c r="A202" s="527" t="s">
        <v>2993</v>
      </c>
      <c r="B202" s="528" t="s">
        <v>3398</v>
      </c>
      <c r="C202" s="407" t="str">
        <f t="shared" si="15"/>
        <v>Audi Q7 - Diesel</v>
      </c>
      <c r="D202" s="514">
        <v>170</v>
      </c>
      <c r="E202" s="515" t="s">
        <v>2823</v>
      </c>
      <c r="F202" s="409">
        <f t="shared" si="25"/>
        <v>68.724199999999996</v>
      </c>
      <c r="G202" s="521">
        <v>6.8</v>
      </c>
      <c r="H202" s="522">
        <v>218</v>
      </c>
      <c r="I202" s="523">
        <v>74810</v>
      </c>
      <c r="J202" s="408">
        <f t="shared" si="13"/>
        <v>960</v>
      </c>
      <c r="K202" s="408">
        <f>J202*Eingabe!$C$48</f>
        <v>288</v>
      </c>
      <c r="L202" s="648" t="s">
        <v>3405</v>
      </c>
    </row>
    <row r="203" spans="1:12" ht="13.6" x14ac:dyDescent="0.25">
      <c r="A203" s="527" t="s">
        <v>2999</v>
      </c>
      <c r="B203" s="528" t="s">
        <v>3399</v>
      </c>
      <c r="C203" s="407" t="str">
        <f t="shared" si="15"/>
        <v>Mini Clubman Cooper - Benzin</v>
      </c>
      <c r="D203" s="514">
        <v>100</v>
      </c>
      <c r="E203" s="515" t="s">
        <v>2500</v>
      </c>
      <c r="F203" s="409">
        <f t="shared" si="25"/>
        <v>53.801999999999992</v>
      </c>
      <c r="G203" s="521">
        <v>6.3</v>
      </c>
      <c r="H203" s="522">
        <v>143</v>
      </c>
      <c r="I203" s="523">
        <v>27450</v>
      </c>
      <c r="J203" s="408">
        <f t="shared" ref="J203:J252" si="26">IF(H203&gt;$U$4,IF(I203*0.02&gt;960,960,I203*0.02),IF(H203&gt;0,IF(I203*0.015&gt;720,720,I203*0.015),0))</f>
        <v>549</v>
      </c>
      <c r="K203" s="408">
        <f>J203*Eingabe!$C$48</f>
        <v>164.7</v>
      </c>
      <c r="L203" s="648" t="s">
        <v>3405</v>
      </c>
    </row>
    <row r="204" spans="1:12" ht="13.6" x14ac:dyDescent="0.25">
      <c r="A204" s="527" t="s">
        <v>2999</v>
      </c>
      <c r="B204" s="528" t="s">
        <v>3399</v>
      </c>
      <c r="C204" s="407" t="str">
        <f t="shared" si="15"/>
        <v>Mini Clubman Cooper - Diesel</v>
      </c>
      <c r="D204" s="514">
        <v>110</v>
      </c>
      <c r="E204" s="515" t="s">
        <v>2823</v>
      </c>
      <c r="F204" s="409">
        <f t="shared" ref="F204:F234" si="27">IF(E204="Benzin",$O$3*G204,$O$4*G204)</f>
        <v>49.521850000000008</v>
      </c>
      <c r="G204" s="521">
        <v>4.9000000000000004</v>
      </c>
      <c r="H204" s="522">
        <v>128</v>
      </c>
      <c r="I204" s="523">
        <v>29900</v>
      </c>
      <c r="J204" s="408">
        <f t="shared" si="26"/>
        <v>448.5</v>
      </c>
      <c r="K204" s="408">
        <f>J204*Eingabe!$C$48</f>
        <v>134.54999999999998</v>
      </c>
      <c r="L204" s="648" t="s">
        <v>3405</v>
      </c>
    </row>
    <row r="205" spans="1:12" ht="13.6" x14ac:dyDescent="0.25">
      <c r="A205" s="527" t="s">
        <v>2986</v>
      </c>
      <c r="B205" s="528" t="s">
        <v>2634</v>
      </c>
      <c r="C205" s="407" t="str">
        <f t="shared" si="15"/>
        <v>MItsubishi Outlander PHEV - Benzin</v>
      </c>
      <c r="D205" s="514">
        <v>99</v>
      </c>
      <c r="E205" s="515" t="s">
        <v>2500</v>
      </c>
      <c r="F205" s="409">
        <f t="shared" si="27"/>
        <v>17.079999999999998</v>
      </c>
      <c r="G205" s="521">
        <v>2</v>
      </c>
      <c r="H205" s="522">
        <v>46</v>
      </c>
      <c r="I205" s="523">
        <v>39995</v>
      </c>
      <c r="J205" s="408">
        <f t="shared" si="26"/>
        <v>599.92499999999995</v>
      </c>
      <c r="K205" s="408">
        <f>J205*Eingabe!$C$48</f>
        <v>179.97749999999999</v>
      </c>
      <c r="L205" s="648" t="s">
        <v>3405</v>
      </c>
    </row>
    <row r="206" spans="1:12" ht="13.6" x14ac:dyDescent="0.25">
      <c r="A206" s="527" t="s">
        <v>2983</v>
      </c>
      <c r="B206" s="528" t="s">
        <v>3118</v>
      </c>
      <c r="C206" s="407" t="str">
        <f t="shared" si="15"/>
        <v>Suzuki Vitara - Benzin</v>
      </c>
      <c r="D206" s="514">
        <v>103</v>
      </c>
      <c r="E206" s="515" t="s">
        <v>2500</v>
      </c>
      <c r="F206" s="409">
        <f t="shared" si="27"/>
        <v>52.093999999999994</v>
      </c>
      <c r="G206" s="521">
        <v>6.1</v>
      </c>
      <c r="H206" s="522">
        <v>139</v>
      </c>
      <c r="I206" s="523">
        <v>26490</v>
      </c>
      <c r="J206" s="408">
        <f t="shared" si="26"/>
        <v>529.79999999999995</v>
      </c>
      <c r="K206" s="408">
        <f>J206*Eingabe!$C$48</f>
        <v>158.93999999999997</v>
      </c>
      <c r="L206" s="648" t="s">
        <v>3405</v>
      </c>
    </row>
    <row r="207" spans="1:12" ht="13.6" x14ac:dyDescent="0.25">
      <c r="A207" s="527" t="s">
        <v>2983</v>
      </c>
      <c r="B207" s="528" t="s">
        <v>3400</v>
      </c>
      <c r="C207" s="407" t="str">
        <f t="shared" si="15"/>
        <v>Suzuki SX4 S-Cross - Benzin</v>
      </c>
      <c r="D207" s="514">
        <v>103</v>
      </c>
      <c r="E207" s="515" t="s">
        <v>2500</v>
      </c>
      <c r="F207" s="409">
        <f t="shared" si="27"/>
        <v>50.385999999999996</v>
      </c>
      <c r="G207" s="521">
        <v>5.9</v>
      </c>
      <c r="H207" s="522">
        <v>135</v>
      </c>
      <c r="I207" s="523">
        <v>25890</v>
      </c>
      <c r="J207" s="408">
        <f t="shared" si="26"/>
        <v>388.34999999999997</v>
      </c>
      <c r="K207" s="408">
        <f>J207*Eingabe!$C$48</f>
        <v>116.50499999999998</v>
      </c>
      <c r="L207" s="648" t="s">
        <v>3405</v>
      </c>
    </row>
    <row r="208" spans="1:12" ht="13.6" x14ac:dyDescent="0.25">
      <c r="A208" s="527" t="s">
        <v>3096</v>
      </c>
      <c r="B208" s="528" t="s">
        <v>3401</v>
      </c>
      <c r="C208" s="407" t="str">
        <f t="shared" si="15"/>
        <v>Hyundai IONIQ PHEV - Benzin</v>
      </c>
      <c r="D208" s="514">
        <v>104</v>
      </c>
      <c r="E208" s="515" t="s">
        <v>2500</v>
      </c>
      <c r="F208" s="409">
        <f t="shared" si="27"/>
        <v>9.3940000000000001</v>
      </c>
      <c r="G208" s="521">
        <v>1.1000000000000001</v>
      </c>
      <c r="H208" s="522">
        <v>26</v>
      </c>
      <c r="I208" s="523">
        <v>32490</v>
      </c>
      <c r="J208" s="408">
        <f t="shared" si="26"/>
        <v>487.34999999999997</v>
      </c>
      <c r="K208" s="408">
        <f>J208*Eingabe!$C$48</f>
        <v>146.20499999999998</v>
      </c>
      <c r="L208" s="648" t="s">
        <v>3405</v>
      </c>
    </row>
    <row r="209" spans="1:12" ht="13.6" x14ac:dyDescent="0.25">
      <c r="A209" s="527" t="s">
        <v>2539</v>
      </c>
      <c r="B209" s="528" t="s">
        <v>3402</v>
      </c>
      <c r="C209" s="407" t="str">
        <f t="shared" si="15"/>
        <v>BMW X3 xDrive30e - Benzin</v>
      </c>
      <c r="D209" s="514">
        <v>215</v>
      </c>
      <c r="E209" s="515" t="s">
        <v>2500</v>
      </c>
      <c r="F209" s="409">
        <f t="shared" si="27"/>
        <v>16.225999999999999</v>
      </c>
      <c r="G209" s="521">
        <v>1.9</v>
      </c>
      <c r="H209" s="522">
        <v>44</v>
      </c>
      <c r="I209" s="523">
        <v>59450</v>
      </c>
      <c r="J209" s="408">
        <f t="shared" si="26"/>
        <v>720</v>
      </c>
      <c r="K209" s="408">
        <f>J209*Eingabe!$C$48</f>
        <v>216</v>
      </c>
      <c r="L209" s="648" t="s">
        <v>3405</v>
      </c>
    </row>
    <row r="210" spans="1:12" ht="13.6" x14ac:dyDescent="0.25">
      <c r="A210" s="527" t="s">
        <v>3119</v>
      </c>
      <c r="B210" s="528" t="s">
        <v>3403</v>
      </c>
      <c r="C210" s="407" t="str">
        <f t="shared" si="15"/>
        <v>Volvo XC60 B4 - Benzin</v>
      </c>
      <c r="D210" s="514">
        <v>145</v>
      </c>
      <c r="E210" s="515" t="s">
        <v>2500</v>
      </c>
      <c r="F210" s="409">
        <f t="shared" si="27"/>
        <v>64.05</v>
      </c>
      <c r="G210" s="521">
        <v>7.5</v>
      </c>
      <c r="H210" s="522">
        <v>169</v>
      </c>
      <c r="I210" s="523">
        <v>48555</v>
      </c>
      <c r="J210" s="408">
        <f t="shared" si="26"/>
        <v>960</v>
      </c>
      <c r="K210" s="408">
        <f>J210*Eingabe!$C$48</f>
        <v>288</v>
      </c>
      <c r="L210" s="648" t="s">
        <v>3405</v>
      </c>
    </row>
    <row r="211" spans="1:12" ht="13.6" x14ac:dyDescent="0.25">
      <c r="A211" s="527" t="s">
        <v>3119</v>
      </c>
      <c r="B211" s="528" t="s">
        <v>3404</v>
      </c>
      <c r="C211" s="407" t="str">
        <f t="shared" si="15"/>
        <v>Volvo XC60 B4 AWD - Diesel</v>
      </c>
      <c r="D211" s="514">
        <v>145</v>
      </c>
      <c r="E211" s="515" t="s">
        <v>2823</v>
      </c>
      <c r="F211" s="409">
        <f t="shared" si="27"/>
        <v>60.639000000000003</v>
      </c>
      <c r="G211" s="521">
        <v>6</v>
      </c>
      <c r="H211" s="522">
        <v>161</v>
      </c>
      <c r="I211" s="523">
        <v>53122</v>
      </c>
      <c r="J211" s="408">
        <f t="shared" si="26"/>
        <v>960</v>
      </c>
      <c r="K211" s="408">
        <f>J211*Eingabe!$C$48</f>
        <v>288</v>
      </c>
      <c r="L211" s="648" t="s">
        <v>3405</v>
      </c>
    </row>
    <row r="212" spans="1:12" ht="13.6" x14ac:dyDescent="0.25">
      <c r="A212" s="527" t="s">
        <v>2954</v>
      </c>
      <c r="B212" s="528" t="s">
        <v>2955</v>
      </c>
      <c r="C212" s="407" t="str">
        <f t="shared" si="15"/>
        <v xml:space="preserve">Eingabe eigenes Fahrzeug - </v>
      </c>
      <c r="D212" s="514"/>
      <c r="E212" s="515"/>
      <c r="F212" s="409">
        <f t="shared" si="27"/>
        <v>0</v>
      </c>
      <c r="G212" s="521"/>
      <c r="H212" s="522"/>
      <c r="I212" s="523"/>
      <c r="J212" s="408">
        <f t="shared" si="26"/>
        <v>0</v>
      </c>
      <c r="K212" s="408">
        <f>J212*Eingabe!$C$48</f>
        <v>0</v>
      </c>
      <c r="L212" s="583"/>
    </row>
    <row r="213" spans="1:12" ht="13.6" x14ac:dyDescent="0.25">
      <c r="A213" s="527" t="s">
        <v>2954</v>
      </c>
      <c r="B213" s="528" t="s">
        <v>2955</v>
      </c>
      <c r="C213" s="407" t="str">
        <f t="shared" si="15"/>
        <v xml:space="preserve">Eingabe eigenes Fahrzeug - </v>
      </c>
      <c r="D213" s="514"/>
      <c r="E213" s="515"/>
      <c r="F213" s="409">
        <f t="shared" si="27"/>
        <v>0</v>
      </c>
      <c r="G213" s="521"/>
      <c r="H213" s="522"/>
      <c r="I213" s="523"/>
      <c r="J213" s="408">
        <f t="shared" si="26"/>
        <v>0</v>
      </c>
      <c r="K213" s="408">
        <f>J213*Eingabe!$C$48</f>
        <v>0</v>
      </c>
      <c r="L213" s="583"/>
    </row>
    <row r="214" spans="1:12" ht="13.6" x14ac:dyDescent="0.25">
      <c r="A214" s="527" t="s">
        <v>2954</v>
      </c>
      <c r="B214" s="528" t="s">
        <v>2955</v>
      </c>
      <c r="C214" s="407" t="str">
        <f t="shared" si="15"/>
        <v xml:space="preserve">Eingabe eigenes Fahrzeug - </v>
      </c>
      <c r="D214" s="514"/>
      <c r="E214" s="515"/>
      <c r="F214" s="409">
        <f t="shared" si="27"/>
        <v>0</v>
      </c>
      <c r="G214" s="521"/>
      <c r="H214" s="522"/>
      <c r="I214" s="523"/>
      <c r="J214" s="408">
        <f t="shared" si="26"/>
        <v>0</v>
      </c>
      <c r="K214" s="408">
        <f>J214*Eingabe!$C$48</f>
        <v>0</v>
      </c>
      <c r="L214" s="583"/>
    </row>
    <row r="215" spans="1:12" ht="13.6" x14ac:dyDescent="0.25">
      <c r="A215" s="527" t="s">
        <v>2954</v>
      </c>
      <c r="B215" s="528" t="s">
        <v>2955</v>
      </c>
      <c r="C215" s="407" t="str">
        <f t="shared" si="15"/>
        <v xml:space="preserve">Eingabe eigenes Fahrzeug - </v>
      </c>
      <c r="D215" s="514"/>
      <c r="E215" s="515"/>
      <c r="F215" s="409">
        <f t="shared" si="27"/>
        <v>0</v>
      </c>
      <c r="G215" s="521"/>
      <c r="H215" s="522"/>
      <c r="I215" s="523"/>
      <c r="J215" s="408">
        <f t="shared" si="26"/>
        <v>0</v>
      </c>
      <c r="K215" s="408">
        <f>J215*Eingabe!$C$48</f>
        <v>0</v>
      </c>
      <c r="L215" s="583"/>
    </row>
    <row r="216" spans="1:12" ht="13.6" x14ac:dyDescent="0.25">
      <c r="A216" s="527" t="s">
        <v>2954</v>
      </c>
      <c r="B216" s="528" t="s">
        <v>2955</v>
      </c>
      <c r="C216" s="407" t="str">
        <f t="shared" ref="C216:C253" si="28">CONCATENATE(A216," ",B216," - ",E216)</f>
        <v xml:space="preserve">Eingabe eigenes Fahrzeug - </v>
      </c>
      <c r="D216" s="514"/>
      <c r="E216" s="515"/>
      <c r="F216" s="409">
        <f t="shared" si="27"/>
        <v>0</v>
      </c>
      <c r="G216" s="521"/>
      <c r="H216" s="522"/>
      <c r="I216" s="523"/>
      <c r="J216" s="408">
        <f t="shared" si="26"/>
        <v>0</v>
      </c>
      <c r="K216" s="408">
        <f>J216*Eingabe!$C$48</f>
        <v>0</v>
      </c>
      <c r="L216" s="583"/>
    </row>
    <row r="217" spans="1:12" ht="13.6" x14ac:dyDescent="0.25">
      <c r="A217" s="527" t="s">
        <v>2954</v>
      </c>
      <c r="B217" s="528" t="s">
        <v>2955</v>
      </c>
      <c r="C217" s="407" t="str">
        <f t="shared" si="28"/>
        <v xml:space="preserve">Eingabe eigenes Fahrzeug - </v>
      </c>
      <c r="D217" s="514"/>
      <c r="E217" s="515"/>
      <c r="F217" s="409">
        <f t="shared" si="27"/>
        <v>0</v>
      </c>
      <c r="G217" s="521"/>
      <c r="H217" s="522"/>
      <c r="I217" s="523"/>
      <c r="J217" s="408">
        <f t="shared" si="26"/>
        <v>0</v>
      </c>
      <c r="K217" s="408">
        <f>J217*Eingabe!$C$48</f>
        <v>0</v>
      </c>
      <c r="L217" s="583"/>
    </row>
    <row r="218" spans="1:12" ht="13.6" x14ac:dyDescent="0.25">
      <c r="A218" s="527" t="s">
        <v>2954</v>
      </c>
      <c r="B218" s="528" t="s">
        <v>2955</v>
      </c>
      <c r="C218" s="407" t="str">
        <f t="shared" si="28"/>
        <v xml:space="preserve">Eingabe eigenes Fahrzeug - </v>
      </c>
      <c r="D218" s="514"/>
      <c r="E218" s="515"/>
      <c r="F218" s="409">
        <f t="shared" si="27"/>
        <v>0</v>
      </c>
      <c r="G218" s="521"/>
      <c r="H218" s="522"/>
      <c r="I218" s="523"/>
      <c r="J218" s="408">
        <f t="shared" si="26"/>
        <v>0</v>
      </c>
      <c r="K218" s="408">
        <f>J218*Eingabe!$C$48</f>
        <v>0</v>
      </c>
      <c r="L218" s="583"/>
    </row>
    <row r="219" spans="1:12" ht="13.6" x14ac:dyDescent="0.25">
      <c r="A219" s="527" t="s">
        <v>2954</v>
      </c>
      <c r="B219" s="528" t="s">
        <v>2955</v>
      </c>
      <c r="C219" s="407" t="str">
        <f t="shared" si="28"/>
        <v xml:space="preserve">Eingabe eigenes Fahrzeug - </v>
      </c>
      <c r="D219" s="514"/>
      <c r="E219" s="515"/>
      <c r="F219" s="409">
        <f t="shared" si="27"/>
        <v>0</v>
      </c>
      <c r="G219" s="521"/>
      <c r="H219" s="522"/>
      <c r="I219" s="523"/>
      <c r="J219" s="408">
        <f t="shared" si="26"/>
        <v>0</v>
      </c>
      <c r="K219" s="408">
        <f>J219*Eingabe!$C$48</f>
        <v>0</v>
      </c>
      <c r="L219" s="583"/>
    </row>
    <row r="220" spans="1:12" ht="13.6" x14ac:dyDescent="0.25">
      <c r="A220" s="527" t="s">
        <v>2954</v>
      </c>
      <c r="B220" s="528" t="s">
        <v>2955</v>
      </c>
      <c r="C220" s="407" t="str">
        <f t="shared" si="28"/>
        <v xml:space="preserve">Eingabe eigenes Fahrzeug - </v>
      </c>
      <c r="D220" s="514"/>
      <c r="E220" s="515"/>
      <c r="F220" s="409">
        <f t="shared" si="27"/>
        <v>0</v>
      </c>
      <c r="G220" s="521"/>
      <c r="H220" s="522"/>
      <c r="I220" s="523"/>
      <c r="J220" s="408">
        <f t="shared" si="26"/>
        <v>0</v>
      </c>
      <c r="K220" s="408">
        <f>J220*Eingabe!$C$48</f>
        <v>0</v>
      </c>
      <c r="L220" s="583"/>
    </row>
    <row r="221" spans="1:12" ht="13.6" x14ac:dyDescent="0.25">
      <c r="A221" s="527" t="s">
        <v>2954</v>
      </c>
      <c r="B221" s="528" t="s">
        <v>2955</v>
      </c>
      <c r="C221" s="407" t="str">
        <f t="shared" si="28"/>
        <v xml:space="preserve">Eingabe eigenes Fahrzeug - </v>
      </c>
      <c r="D221" s="514"/>
      <c r="E221" s="515"/>
      <c r="F221" s="409">
        <f t="shared" si="27"/>
        <v>0</v>
      </c>
      <c r="G221" s="521"/>
      <c r="H221" s="522"/>
      <c r="I221" s="523"/>
      <c r="J221" s="408">
        <f t="shared" si="26"/>
        <v>0</v>
      </c>
      <c r="K221" s="408">
        <f>J221*Eingabe!$C$48</f>
        <v>0</v>
      </c>
      <c r="L221" s="583"/>
    </row>
    <row r="222" spans="1:12" ht="13.6" x14ac:dyDescent="0.25">
      <c r="A222" s="527" t="s">
        <v>2954</v>
      </c>
      <c r="B222" s="528" t="s">
        <v>2955</v>
      </c>
      <c r="C222" s="407" t="str">
        <f t="shared" si="28"/>
        <v xml:space="preserve">Eingabe eigenes Fahrzeug - </v>
      </c>
      <c r="D222" s="514"/>
      <c r="E222" s="515"/>
      <c r="F222" s="409">
        <f t="shared" si="27"/>
        <v>0</v>
      </c>
      <c r="G222" s="521"/>
      <c r="H222" s="522"/>
      <c r="I222" s="523"/>
      <c r="J222" s="408">
        <f t="shared" si="26"/>
        <v>0</v>
      </c>
      <c r="K222" s="408">
        <f>J222*Eingabe!$C$48</f>
        <v>0</v>
      </c>
      <c r="L222" s="583"/>
    </row>
    <row r="223" spans="1:12" ht="13.6" x14ac:dyDescent="0.25">
      <c r="A223" s="527" t="s">
        <v>2954</v>
      </c>
      <c r="B223" s="528" t="s">
        <v>2955</v>
      </c>
      <c r="C223" s="407" t="str">
        <f t="shared" si="28"/>
        <v xml:space="preserve">Eingabe eigenes Fahrzeug - </v>
      </c>
      <c r="D223" s="514"/>
      <c r="E223" s="515"/>
      <c r="F223" s="409">
        <f t="shared" si="27"/>
        <v>0</v>
      </c>
      <c r="G223" s="521"/>
      <c r="H223" s="522"/>
      <c r="I223" s="523"/>
      <c r="J223" s="408">
        <f t="shared" si="26"/>
        <v>0</v>
      </c>
      <c r="K223" s="408">
        <f>J223*Eingabe!$C$48</f>
        <v>0</v>
      </c>
      <c r="L223" s="583"/>
    </row>
    <row r="224" spans="1:12" ht="13.6" x14ac:dyDescent="0.25">
      <c r="A224" s="527" t="s">
        <v>2954</v>
      </c>
      <c r="B224" s="528" t="s">
        <v>2955</v>
      </c>
      <c r="C224" s="407" t="str">
        <f t="shared" si="28"/>
        <v xml:space="preserve">Eingabe eigenes Fahrzeug - </v>
      </c>
      <c r="D224" s="514"/>
      <c r="E224" s="515"/>
      <c r="F224" s="409">
        <f t="shared" si="27"/>
        <v>0</v>
      </c>
      <c r="G224" s="521"/>
      <c r="H224" s="522"/>
      <c r="I224" s="523"/>
      <c r="J224" s="408">
        <f t="shared" si="26"/>
        <v>0</v>
      </c>
      <c r="K224" s="408">
        <f>J224*Eingabe!$C$48</f>
        <v>0</v>
      </c>
      <c r="L224" s="583"/>
    </row>
    <row r="225" spans="1:12" ht="13.6" x14ac:dyDescent="0.25">
      <c r="A225" s="527" t="s">
        <v>2954</v>
      </c>
      <c r="B225" s="528" t="s">
        <v>2955</v>
      </c>
      <c r="C225" s="407" t="str">
        <f t="shared" si="28"/>
        <v xml:space="preserve">Eingabe eigenes Fahrzeug - </v>
      </c>
      <c r="D225" s="514"/>
      <c r="E225" s="515"/>
      <c r="F225" s="409">
        <f t="shared" si="27"/>
        <v>0</v>
      </c>
      <c r="G225" s="521"/>
      <c r="H225" s="522"/>
      <c r="I225" s="523"/>
      <c r="J225" s="408">
        <f t="shared" si="26"/>
        <v>0</v>
      </c>
      <c r="K225" s="408">
        <f>J225*Eingabe!$C$48</f>
        <v>0</v>
      </c>
      <c r="L225" s="583"/>
    </row>
    <row r="226" spans="1:12" ht="13.6" x14ac:dyDescent="0.25">
      <c r="A226" s="527" t="s">
        <v>2954</v>
      </c>
      <c r="B226" s="528" t="s">
        <v>2955</v>
      </c>
      <c r="C226" s="407" t="str">
        <f t="shared" si="28"/>
        <v xml:space="preserve">Eingabe eigenes Fahrzeug - </v>
      </c>
      <c r="D226" s="514"/>
      <c r="E226" s="515"/>
      <c r="F226" s="409">
        <f t="shared" si="27"/>
        <v>0</v>
      </c>
      <c r="G226" s="521"/>
      <c r="H226" s="522"/>
      <c r="I226" s="523"/>
      <c r="J226" s="408">
        <f t="shared" si="26"/>
        <v>0</v>
      </c>
      <c r="K226" s="408">
        <f>J226*Eingabe!$C$48</f>
        <v>0</v>
      </c>
      <c r="L226" s="583"/>
    </row>
    <row r="227" spans="1:12" ht="13.6" x14ac:dyDescent="0.25">
      <c r="A227" s="527" t="s">
        <v>2954</v>
      </c>
      <c r="B227" s="528" t="s">
        <v>2955</v>
      </c>
      <c r="C227" s="407" t="str">
        <f t="shared" si="28"/>
        <v xml:space="preserve">Eingabe eigenes Fahrzeug - </v>
      </c>
      <c r="D227" s="514"/>
      <c r="E227" s="515"/>
      <c r="F227" s="409">
        <f t="shared" si="27"/>
        <v>0</v>
      </c>
      <c r="G227" s="521"/>
      <c r="H227" s="522"/>
      <c r="I227" s="523"/>
      <c r="J227" s="408">
        <f t="shared" si="26"/>
        <v>0</v>
      </c>
      <c r="K227" s="408">
        <f>J227*Eingabe!$C$48</f>
        <v>0</v>
      </c>
      <c r="L227" s="583"/>
    </row>
    <row r="228" spans="1:12" ht="13.6" x14ac:dyDescent="0.25">
      <c r="A228" s="527" t="s">
        <v>2954</v>
      </c>
      <c r="B228" s="528" t="s">
        <v>2955</v>
      </c>
      <c r="C228" s="407" t="str">
        <f t="shared" si="28"/>
        <v xml:space="preserve">Eingabe eigenes Fahrzeug - </v>
      </c>
      <c r="D228" s="514"/>
      <c r="E228" s="515"/>
      <c r="F228" s="409">
        <f t="shared" si="27"/>
        <v>0</v>
      </c>
      <c r="G228" s="521"/>
      <c r="H228" s="522"/>
      <c r="I228" s="523"/>
      <c r="J228" s="408">
        <f t="shared" si="26"/>
        <v>0</v>
      </c>
      <c r="K228" s="408">
        <f>J228*Eingabe!$C$48</f>
        <v>0</v>
      </c>
      <c r="L228" s="583"/>
    </row>
    <row r="229" spans="1:12" ht="13.6" x14ac:dyDescent="0.25">
      <c r="A229" s="527" t="s">
        <v>2954</v>
      </c>
      <c r="B229" s="528" t="s">
        <v>2955</v>
      </c>
      <c r="C229" s="407" t="str">
        <f t="shared" si="28"/>
        <v xml:space="preserve">Eingabe eigenes Fahrzeug - </v>
      </c>
      <c r="D229" s="514"/>
      <c r="E229" s="515"/>
      <c r="F229" s="409">
        <f t="shared" si="27"/>
        <v>0</v>
      </c>
      <c r="G229" s="521"/>
      <c r="H229" s="522"/>
      <c r="I229" s="523"/>
      <c r="J229" s="408">
        <f t="shared" si="26"/>
        <v>0</v>
      </c>
      <c r="K229" s="408">
        <f>J229*Eingabe!$C$48</f>
        <v>0</v>
      </c>
      <c r="L229" s="583"/>
    </row>
    <row r="230" spans="1:12" ht="13.6" x14ac:dyDescent="0.25">
      <c r="A230" s="527" t="s">
        <v>2954</v>
      </c>
      <c r="B230" s="528" t="s">
        <v>2955</v>
      </c>
      <c r="C230" s="407" t="str">
        <f t="shared" si="28"/>
        <v xml:space="preserve">Eingabe eigenes Fahrzeug - </v>
      </c>
      <c r="D230" s="514"/>
      <c r="E230" s="515"/>
      <c r="F230" s="409">
        <f t="shared" si="27"/>
        <v>0</v>
      </c>
      <c r="G230" s="521"/>
      <c r="H230" s="522"/>
      <c r="I230" s="523"/>
      <c r="J230" s="408">
        <f t="shared" si="26"/>
        <v>0</v>
      </c>
      <c r="K230" s="408">
        <f>J230*Eingabe!$C$48</f>
        <v>0</v>
      </c>
      <c r="L230" s="583"/>
    </row>
    <row r="231" spans="1:12" ht="13.6" x14ac:dyDescent="0.25">
      <c r="A231" s="527" t="s">
        <v>2954</v>
      </c>
      <c r="B231" s="528" t="s">
        <v>2955</v>
      </c>
      <c r="C231" s="407" t="str">
        <f t="shared" si="28"/>
        <v xml:space="preserve">Eingabe eigenes Fahrzeug - </v>
      </c>
      <c r="D231" s="514"/>
      <c r="E231" s="515"/>
      <c r="F231" s="409">
        <f t="shared" si="27"/>
        <v>0</v>
      </c>
      <c r="G231" s="521"/>
      <c r="H231" s="522"/>
      <c r="I231" s="523"/>
      <c r="J231" s="408">
        <f t="shared" si="26"/>
        <v>0</v>
      </c>
      <c r="K231" s="408">
        <f>J231*Eingabe!$C$48</f>
        <v>0</v>
      </c>
      <c r="L231" s="583"/>
    </row>
    <row r="232" spans="1:12" ht="13.6" x14ac:dyDescent="0.25">
      <c r="A232" s="527" t="s">
        <v>2954</v>
      </c>
      <c r="B232" s="528" t="s">
        <v>2955</v>
      </c>
      <c r="C232" s="407" t="str">
        <f t="shared" si="28"/>
        <v xml:space="preserve">Eingabe eigenes Fahrzeug - </v>
      </c>
      <c r="D232" s="514"/>
      <c r="E232" s="515"/>
      <c r="F232" s="409">
        <f t="shared" si="27"/>
        <v>0</v>
      </c>
      <c r="G232" s="521"/>
      <c r="H232" s="522"/>
      <c r="I232" s="523"/>
      <c r="J232" s="408">
        <f t="shared" si="26"/>
        <v>0</v>
      </c>
      <c r="K232" s="408">
        <f>J232*Eingabe!$C$48</f>
        <v>0</v>
      </c>
      <c r="L232" s="583"/>
    </row>
    <row r="233" spans="1:12" ht="13.6" x14ac:dyDescent="0.25">
      <c r="A233" s="527" t="s">
        <v>2954</v>
      </c>
      <c r="B233" s="528" t="s">
        <v>2955</v>
      </c>
      <c r="C233" s="407" t="str">
        <f t="shared" si="28"/>
        <v xml:space="preserve">Eingabe eigenes Fahrzeug - </v>
      </c>
      <c r="D233" s="514"/>
      <c r="E233" s="515"/>
      <c r="F233" s="409">
        <f t="shared" si="27"/>
        <v>0</v>
      </c>
      <c r="G233" s="521"/>
      <c r="H233" s="522"/>
      <c r="I233" s="523"/>
      <c r="J233" s="408">
        <f t="shared" si="26"/>
        <v>0</v>
      </c>
      <c r="K233" s="408">
        <f>J233*Eingabe!$C$48</f>
        <v>0</v>
      </c>
      <c r="L233" s="583"/>
    </row>
    <row r="234" spans="1:12" ht="13.6" x14ac:dyDescent="0.25">
      <c r="A234" s="527" t="s">
        <v>2954</v>
      </c>
      <c r="B234" s="528" t="s">
        <v>2955</v>
      </c>
      <c r="C234" s="407" t="str">
        <f t="shared" si="28"/>
        <v xml:space="preserve">Eingabe eigenes Fahrzeug - </v>
      </c>
      <c r="D234" s="514"/>
      <c r="E234" s="515"/>
      <c r="F234" s="409">
        <f t="shared" si="27"/>
        <v>0</v>
      </c>
      <c r="G234" s="521"/>
      <c r="H234" s="522"/>
      <c r="I234" s="523"/>
      <c r="J234" s="408">
        <f t="shared" si="26"/>
        <v>0</v>
      </c>
      <c r="K234" s="408">
        <f>J234*Eingabe!$C$48</f>
        <v>0</v>
      </c>
      <c r="L234" s="583"/>
    </row>
    <row r="235" spans="1:12" ht="13.6" x14ac:dyDescent="0.25">
      <c r="A235" s="527" t="s">
        <v>2954</v>
      </c>
      <c r="B235" s="528" t="s">
        <v>2955</v>
      </c>
      <c r="C235" s="407" t="str">
        <f t="shared" si="28"/>
        <v xml:space="preserve">Eingabe eigenes Fahrzeug - </v>
      </c>
      <c r="D235" s="514"/>
      <c r="E235" s="515"/>
      <c r="F235" s="409">
        <f t="shared" ref="F235:F253" si="29">IF(E235="Benzin",$O$3*G235,$O$4*G235)</f>
        <v>0</v>
      </c>
      <c r="G235" s="521"/>
      <c r="H235" s="522"/>
      <c r="I235" s="523"/>
      <c r="J235" s="408">
        <f t="shared" si="26"/>
        <v>0</v>
      </c>
      <c r="K235" s="408">
        <f>J235*Eingabe!$C$48</f>
        <v>0</v>
      </c>
      <c r="L235" s="583"/>
    </row>
    <row r="236" spans="1:12" ht="13.6" x14ac:dyDescent="0.25">
      <c r="A236" s="527" t="s">
        <v>2954</v>
      </c>
      <c r="B236" s="528" t="s">
        <v>2955</v>
      </c>
      <c r="C236" s="407" t="str">
        <f t="shared" si="28"/>
        <v xml:space="preserve">Eingabe eigenes Fahrzeug - </v>
      </c>
      <c r="D236" s="514"/>
      <c r="E236" s="515"/>
      <c r="F236" s="409">
        <f t="shared" si="29"/>
        <v>0</v>
      </c>
      <c r="G236" s="521"/>
      <c r="H236" s="522"/>
      <c r="I236" s="523"/>
      <c r="J236" s="408">
        <f t="shared" si="26"/>
        <v>0</v>
      </c>
      <c r="K236" s="408">
        <f>J236*Eingabe!$C$48</f>
        <v>0</v>
      </c>
      <c r="L236" s="583"/>
    </row>
    <row r="237" spans="1:12" ht="13.6" x14ac:dyDescent="0.25">
      <c r="A237" s="527" t="s">
        <v>2954</v>
      </c>
      <c r="B237" s="528" t="s">
        <v>2955</v>
      </c>
      <c r="C237" s="407" t="str">
        <f t="shared" si="28"/>
        <v xml:space="preserve">Eingabe eigenes Fahrzeug - </v>
      </c>
      <c r="D237" s="514"/>
      <c r="E237" s="515"/>
      <c r="F237" s="409">
        <f t="shared" si="29"/>
        <v>0</v>
      </c>
      <c r="G237" s="521"/>
      <c r="H237" s="522"/>
      <c r="I237" s="523"/>
      <c r="J237" s="408">
        <f t="shared" si="26"/>
        <v>0</v>
      </c>
      <c r="K237" s="408">
        <f>J237*Eingabe!$C$48</f>
        <v>0</v>
      </c>
      <c r="L237" s="583"/>
    </row>
    <row r="238" spans="1:12" ht="13.6" x14ac:dyDescent="0.25">
      <c r="A238" s="527" t="s">
        <v>2954</v>
      </c>
      <c r="B238" s="528" t="s">
        <v>2955</v>
      </c>
      <c r="C238" s="407" t="str">
        <f t="shared" si="28"/>
        <v xml:space="preserve">Eingabe eigenes Fahrzeug - </v>
      </c>
      <c r="D238" s="514"/>
      <c r="E238" s="515"/>
      <c r="F238" s="409">
        <f t="shared" si="29"/>
        <v>0</v>
      </c>
      <c r="G238" s="521"/>
      <c r="H238" s="522"/>
      <c r="I238" s="523"/>
      <c r="J238" s="408">
        <f t="shared" si="26"/>
        <v>0</v>
      </c>
      <c r="K238" s="408">
        <f>J238*Eingabe!$C$48</f>
        <v>0</v>
      </c>
      <c r="L238" s="583"/>
    </row>
    <row r="239" spans="1:12" ht="13.6" x14ac:dyDescent="0.25">
      <c r="A239" s="527" t="s">
        <v>2954</v>
      </c>
      <c r="B239" s="528" t="s">
        <v>2955</v>
      </c>
      <c r="C239" s="407" t="str">
        <f t="shared" si="28"/>
        <v xml:space="preserve">Eingabe eigenes Fahrzeug - </v>
      </c>
      <c r="D239" s="514"/>
      <c r="E239" s="515"/>
      <c r="F239" s="409">
        <f t="shared" si="29"/>
        <v>0</v>
      </c>
      <c r="G239" s="521"/>
      <c r="H239" s="522"/>
      <c r="I239" s="523"/>
      <c r="J239" s="408">
        <f t="shared" si="26"/>
        <v>0</v>
      </c>
      <c r="K239" s="408">
        <f>J239*Eingabe!$C$48</f>
        <v>0</v>
      </c>
      <c r="L239" s="583"/>
    </row>
    <row r="240" spans="1:12" ht="13.6" x14ac:dyDescent="0.25">
      <c r="A240" s="527" t="s">
        <v>2954</v>
      </c>
      <c r="B240" s="528" t="s">
        <v>2955</v>
      </c>
      <c r="C240" s="407" t="str">
        <f t="shared" si="28"/>
        <v xml:space="preserve">Eingabe eigenes Fahrzeug - </v>
      </c>
      <c r="D240" s="514"/>
      <c r="E240" s="515"/>
      <c r="F240" s="409">
        <f t="shared" si="29"/>
        <v>0</v>
      </c>
      <c r="G240" s="521"/>
      <c r="H240" s="522"/>
      <c r="I240" s="523"/>
      <c r="J240" s="408">
        <f t="shared" si="26"/>
        <v>0</v>
      </c>
      <c r="K240" s="408">
        <f>J240*Eingabe!$C$48</f>
        <v>0</v>
      </c>
      <c r="L240" s="583"/>
    </row>
    <row r="241" spans="1:12" ht="13.6" x14ac:dyDescent="0.25">
      <c r="A241" s="527" t="s">
        <v>2954</v>
      </c>
      <c r="B241" s="528" t="s">
        <v>2955</v>
      </c>
      <c r="C241" s="407" t="str">
        <f t="shared" si="28"/>
        <v xml:space="preserve">Eingabe eigenes Fahrzeug - </v>
      </c>
      <c r="D241" s="514"/>
      <c r="E241" s="515"/>
      <c r="F241" s="409">
        <f t="shared" si="29"/>
        <v>0</v>
      </c>
      <c r="G241" s="521"/>
      <c r="H241" s="522"/>
      <c r="I241" s="523"/>
      <c r="J241" s="408">
        <f t="shared" si="26"/>
        <v>0</v>
      </c>
      <c r="K241" s="408">
        <f>J241*Eingabe!$C$48</f>
        <v>0</v>
      </c>
      <c r="L241" s="583"/>
    </row>
    <row r="242" spans="1:12" ht="13.6" x14ac:dyDescent="0.25">
      <c r="A242" s="527" t="s">
        <v>2954</v>
      </c>
      <c r="B242" s="528" t="s">
        <v>2955</v>
      </c>
      <c r="C242" s="407" t="str">
        <f t="shared" si="28"/>
        <v xml:space="preserve">Eingabe eigenes Fahrzeug - </v>
      </c>
      <c r="D242" s="514"/>
      <c r="E242" s="515"/>
      <c r="F242" s="409">
        <f t="shared" si="29"/>
        <v>0</v>
      </c>
      <c r="G242" s="521"/>
      <c r="H242" s="522"/>
      <c r="I242" s="523"/>
      <c r="J242" s="408">
        <f t="shared" si="26"/>
        <v>0</v>
      </c>
      <c r="K242" s="408">
        <f>J242*Eingabe!$C$48</f>
        <v>0</v>
      </c>
      <c r="L242" s="583"/>
    </row>
    <row r="243" spans="1:12" ht="13.6" x14ac:dyDescent="0.25">
      <c r="A243" s="527" t="s">
        <v>2954</v>
      </c>
      <c r="B243" s="528" t="s">
        <v>2955</v>
      </c>
      <c r="C243" s="407" t="str">
        <f t="shared" si="28"/>
        <v xml:space="preserve">Eingabe eigenes Fahrzeug - </v>
      </c>
      <c r="D243" s="514"/>
      <c r="E243" s="515"/>
      <c r="F243" s="409">
        <f t="shared" si="29"/>
        <v>0</v>
      </c>
      <c r="G243" s="521"/>
      <c r="H243" s="522"/>
      <c r="I243" s="523"/>
      <c r="J243" s="408">
        <f t="shared" si="26"/>
        <v>0</v>
      </c>
      <c r="K243" s="408">
        <f>J243*Eingabe!$C$48</f>
        <v>0</v>
      </c>
      <c r="L243" s="583"/>
    </row>
    <row r="244" spans="1:12" ht="13.6" x14ac:dyDescent="0.25">
      <c r="A244" s="527" t="s">
        <v>2954</v>
      </c>
      <c r="B244" s="528" t="s">
        <v>2955</v>
      </c>
      <c r="C244" s="407" t="str">
        <f t="shared" si="28"/>
        <v xml:space="preserve">Eingabe eigenes Fahrzeug - </v>
      </c>
      <c r="D244" s="514"/>
      <c r="E244" s="515"/>
      <c r="F244" s="409">
        <f t="shared" si="29"/>
        <v>0</v>
      </c>
      <c r="G244" s="521"/>
      <c r="H244" s="522"/>
      <c r="I244" s="523"/>
      <c r="J244" s="408">
        <f t="shared" ref="J244:J253" si="30">IF(H244&gt;$U$4,IF(I244*0.02&gt;960,960,I244*0.02),IF(H244&gt;0,IF(I244*0.015&gt;720,720,I244*0.015),0))</f>
        <v>0</v>
      </c>
      <c r="K244" s="408">
        <f>J244*Eingabe!$C$48</f>
        <v>0</v>
      </c>
      <c r="L244" s="583"/>
    </row>
    <row r="245" spans="1:12" ht="13.6" x14ac:dyDescent="0.25">
      <c r="A245" s="527" t="s">
        <v>2954</v>
      </c>
      <c r="B245" s="528" t="s">
        <v>2955</v>
      </c>
      <c r="C245" s="407" t="str">
        <f t="shared" si="28"/>
        <v xml:space="preserve">Eingabe eigenes Fahrzeug - </v>
      </c>
      <c r="D245" s="514"/>
      <c r="E245" s="515"/>
      <c r="F245" s="409">
        <f t="shared" si="29"/>
        <v>0</v>
      </c>
      <c r="G245" s="521"/>
      <c r="H245" s="522"/>
      <c r="I245" s="523"/>
      <c r="J245" s="408">
        <f t="shared" si="30"/>
        <v>0</v>
      </c>
      <c r="K245" s="408">
        <f>J245*Eingabe!$C$48</f>
        <v>0</v>
      </c>
      <c r="L245" s="583"/>
    </row>
    <row r="246" spans="1:12" ht="13.6" x14ac:dyDescent="0.25">
      <c r="A246" s="527" t="s">
        <v>2954</v>
      </c>
      <c r="B246" s="528" t="s">
        <v>2955</v>
      </c>
      <c r="C246" s="407" t="str">
        <f t="shared" si="28"/>
        <v xml:space="preserve">Eingabe eigenes Fahrzeug - </v>
      </c>
      <c r="D246" s="514"/>
      <c r="E246" s="515"/>
      <c r="F246" s="409">
        <f t="shared" si="29"/>
        <v>0</v>
      </c>
      <c r="G246" s="521"/>
      <c r="H246" s="522"/>
      <c r="I246" s="523"/>
      <c r="J246" s="408">
        <f t="shared" si="30"/>
        <v>0</v>
      </c>
      <c r="K246" s="408">
        <f>J246*Eingabe!$C$48</f>
        <v>0</v>
      </c>
      <c r="L246" s="583"/>
    </row>
    <row r="247" spans="1:12" ht="13.6" x14ac:dyDescent="0.25">
      <c r="A247" s="527" t="s">
        <v>2954</v>
      </c>
      <c r="B247" s="528" t="s">
        <v>2955</v>
      </c>
      <c r="C247" s="407" t="str">
        <f t="shared" si="28"/>
        <v xml:space="preserve">Eingabe eigenes Fahrzeug - </v>
      </c>
      <c r="D247" s="514"/>
      <c r="E247" s="515"/>
      <c r="F247" s="409">
        <f t="shared" si="29"/>
        <v>0</v>
      </c>
      <c r="G247" s="521"/>
      <c r="H247" s="522"/>
      <c r="I247" s="523"/>
      <c r="J247" s="408">
        <f t="shared" si="30"/>
        <v>0</v>
      </c>
      <c r="K247" s="408">
        <f>J247*Eingabe!$C$48</f>
        <v>0</v>
      </c>
      <c r="L247" s="583"/>
    </row>
    <row r="248" spans="1:12" ht="13.6" x14ac:dyDescent="0.25">
      <c r="A248" s="527" t="s">
        <v>2954</v>
      </c>
      <c r="B248" s="528" t="s">
        <v>2955</v>
      </c>
      <c r="C248" s="407" t="str">
        <f t="shared" si="28"/>
        <v xml:space="preserve">Eingabe eigenes Fahrzeug - </v>
      </c>
      <c r="D248" s="514"/>
      <c r="E248" s="515"/>
      <c r="F248" s="409">
        <f t="shared" si="29"/>
        <v>0</v>
      </c>
      <c r="G248" s="521"/>
      <c r="H248" s="522"/>
      <c r="I248" s="523"/>
      <c r="J248" s="408">
        <f t="shared" si="30"/>
        <v>0</v>
      </c>
      <c r="K248" s="408">
        <f>J248*Eingabe!$C$48</f>
        <v>0</v>
      </c>
      <c r="L248" s="583"/>
    </row>
    <row r="249" spans="1:12" ht="13.6" x14ac:dyDescent="0.25">
      <c r="A249" s="527" t="s">
        <v>2954</v>
      </c>
      <c r="B249" s="528" t="s">
        <v>2955</v>
      </c>
      <c r="C249" s="407" t="str">
        <f t="shared" si="28"/>
        <v xml:space="preserve">Eingabe eigenes Fahrzeug - </v>
      </c>
      <c r="D249" s="514"/>
      <c r="E249" s="515"/>
      <c r="F249" s="409">
        <f t="shared" si="29"/>
        <v>0</v>
      </c>
      <c r="G249" s="521"/>
      <c r="H249" s="522"/>
      <c r="I249" s="523"/>
      <c r="J249" s="408">
        <f t="shared" si="30"/>
        <v>0</v>
      </c>
      <c r="K249" s="408">
        <f>J249*Eingabe!$C$48</f>
        <v>0</v>
      </c>
      <c r="L249" s="583"/>
    </row>
    <row r="250" spans="1:12" ht="13.6" x14ac:dyDescent="0.25">
      <c r="A250" s="527" t="s">
        <v>2954</v>
      </c>
      <c r="B250" s="528" t="s">
        <v>2955</v>
      </c>
      <c r="C250" s="407" t="str">
        <f t="shared" si="28"/>
        <v xml:space="preserve">Eingabe eigenes Fahrzeug - </v>
      </c>
      <c r="D250" s="514"/>
      <c r="E250" s="515"/>
      <c r="F250" s="409">
        <f t="shared" si="29"/>
        <v>0</v>
      </c>
      <c r="G250" s="521"/>
      <c r="H250" s="522"/>
      <c r="I250" s="523"/>
      <c r="J250" s="408">
        <f t="shared" si="30"/>
        <v>0</v>
      </c>
      <c r="K250" s="408">
        <f>J250*Eingabe!$C$48</f>
        <v>0</v>
      </c>
      <c r="L250" s="583"/>
    </row>
    <row r="251" spans="1:12" ht="13.6" x14ac:dyDescent="0.25">
      <c r="A251" s="527" t="s">
        <v>2954</v>
      </c>
      <c r="B251" s="528" t="s">
        <v>2955</v>
      </c>
      <c r="C251" s="407" t="str">
        <f t="shared" si="28"/>
        <v xml:space="preserve">Eingabe eigenes Fahrzeug - </v>
      </c>
      <c r="D251" s="514"/>
      <c r="E251" s="515"/>
      <c r="F251" s="409">
        <f t="shared" si="29"/>
        <v>0</v>
      </c>
      <c r="G251" s="521"/>
      <c r="H251" s="522"/>
      <c r="I251" s="523"/>
      <c r="J251" s="408">
        <f t="shared" si="30"/>
        <v>0</v>
      </c>
      <c r="K251" s="408">
        <f>J251*Eingabe!$C$48</f>
        <v>0</v>
      </c>
      <c r="L251" s="583"/>
    </row>
    <row r="252" spans="1:12" ht="13.6" x14ac:dyDescent="0.25">
      <c r="A252" s="527" t="s">
        <v>2954</v>
      </c>
      <c r="B252" s="528" t="s">
        <v>2955</v>
      </c>
      <c r="C252" s="407" t="str">
        <f t="shared" si="28"/>
        <v xml:space="preserve">Eingabe eigenes Fahrzeug - </v>
      </c>
      <c r="D252" s="514"/>
      <c r="E252" s="515"/>
      <c r="F252" s="409">
        <f t="shared" si="29"/>
        <v>0</v>
      </c>
      <c r="G252" s="521"/>
      <c r="H252" s="522"/>
      <c r="I252" s="523"/>
      <c r="J252" s="408">
        <f t="shared" si="30"/>
        <v>0</v>
      </c>
      <c r="K252" s="408">
        <f>J252*Eingabe!$C$48</f>
        <v>0</v>
      </c>
      <c r="L252" s="583"/>
    </row>
    <row r="253" spans="1:12" ht="13.6" x14ac:dyDescent="0.25">
      <c r="A253" s="527" t="s">
        <v>2954</v>
      </c>
      <c r="B253" s="528" t="s">
        <v>2955</v>
      </c>
      <c r="C253" s="407" t="str">
        <f t="shared" si="28"/>
        <v xml:space="preserve">Eingabe eigenes Fahrzeug - </v>
      </c>
      <c r="D253" s="514"/>
      <c r="E253" s="515"/>
      <c r="F253" s="409">
        <f t="shared" si="29"/>
        <v>0</v>
      </c>
      <c r="G253" s="521"/>
      <c r="H253" s="522"/>
      <c r="I253" s="523"/>
      <c r="J253" s="408">
        <f t="shared" si="30"/>
        <v>0</v>
      </c>
      <c r="K253" s="408">
        <f>J253*Eingabe!$C$48</f>
        <v>0</v>
      </c>
      <c r="L253" s="583"/>
    </row>
    <row r="272" spans="1:76" x14ac:dyDescent="0.2">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1:76" x14ac:dyDescent="0.2">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1:76" x14ac:dyDescent="0.2">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1:76" x14ac:dyDescent="0.2">
      <c r="A275" s="115"/>
      <c r="B275" s="115"/>
      <c r="C275" s="115"/>
      <c r="D275" s="115"/>
      <c r="E275" s="115"/>
      <c r="F275" s="115"/>
      <c r="G275" s="115"/>
      <c r="H275" s="115"/>
      <c r="I275" s="115"/>
      <c r="J275" s="115"/>
      <c r="K275" s="115"/>
      <c r="L275" s="115"/>
      <c r="M275" s="115" t="s">
        <v>2989</v>
      </c>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1:76" x14ac:dyDescent="0.2">
      <c r="A276" s="115"/>
      <c r="B276" s="115"/>
      <c r="C276" s="115"/>
      <c r="D276" s="115"/>
      <c r="E276" s="115"/>
      <c r="F276" s="115"/>
      <c r="G276" s="115"/>
      <c r="H276" s="115"/>
      <c r="I276" s="115"/>
      <c r="J276" s="115"/>
      <c r="K276" s="115"/>
      <c r="L276" s="115"/>
      <c r="M276" s="115" t="s">
        <v>3007</v>
      </c>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1:76" x14ac:dyDescent="0.2">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1:76" x14ac:dyDescent="0.2">
      <c r="A278" s="115"/>
      <c r="B278" s="115"/>
      <c r="C278" s="115"/>
      <c r="D278" s="115"/>
      <c r="E278" s="115"/>
      <c r="F278" s="115"/>
      <c r="G278" s="115"/>
      <c r="H278" s="115"/>
      <c r="I278" s="115"/>
      <c r="J278" s="115"/>
      <c r="K278" s="115"/>
      <c r="L278" s="115"/>
      <c r="M278" s="115" t="s">
        <v>3022</v>
      </c>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1:76" x14ac:dyDescent="0.2">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1:76" x14ac:dyDescent="0.2">
      <c r="A280" s="115"/>
      <c r="B280" s="115"/>
      <c r="C280" s="115"/>
      <c r="D280" s="115"/>
      <c r="E280" s="115"/>
      <c r="F280" s="115"/>
      <c r="G280" s="115"/>
      <c r="H280" s="115"/>
      <c r="I280" s="115"/>
      <c r="J280" s="115"/>
      <c r="K280" s="115"/>
      <c r="L280" s="115"/>
      <c r="M280" s="115"/>
      <c r="N280" s="115" t="s">
        <v>2990</v>
      </c>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1:76" x14ac:dyDescent="0.2">
      <c r="A281" s="115"/>
      <c r="B281" s="115"/>
      <c r="C281" s="115"/>
      <c r="D281" s="115"/>
      <c r="E281" s="115"/>
      <c r="F281" s="115"/>
      <c r="G281" s="115"/>
      <c r="H281" s="115"/>
      <c r="I281" s="115"/>
      <c r="J281" s="115"/>
      <c r="K281" s="115"/>
      <c r="L281" s="115"/>
      <c r="M281" s="590">
        <v>8990</v>
      </c>
      <c r="N281" s="115" t="s">
        <v>2746</v>
      </c>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1:76" x14ac:dyDescent="0.2">
      <c r="A282" s="115"/>
      <c r="B282" s="115"/>
      <c r="C282" s="115"/>
      <c r="D282" s="115"/>
      <c r="E282" s="115"/>
      <c r="F282" s="115"/>
      <c r="G282" s="115"/>
      <c r="H282" s="115"/>
      <c r="I282" s="115"/>
      <c r="J282" s="115"/>
      <c r="K282" s="115"/>
      <c r="L282" s="115"/>
      <c r="M282" s="115"/>
      <c r="N282" s="115"/>
      <c r="O282" s="115" t="s">
        <v>2991</v>
      </c>
      <c r="P282" s="115" t="s">
        <v>2992</v>
      </c>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1:76" x14ac:dyDescent="0.2">
      <c r="A283" s="115"/>
      <c r="B283" s="115"/>
      <c r="C283" s="115"/>
      <c r="D283" s="115"/>
      <c r="E283" s="115"/>
      <c r="F283" s="115"/>
      <c r="G283" s="115"/>
      <c r="H283" s="115"/>
      <c r="I283" s="115"/>
      <c r="J283" s="115"/>
      <c r="K283" s="115"/>
      <c r="L283" s="115"/>
      <c r="M283" s="115"/>
      <c r="N283" s="115" t="s">
        <v>2909</v>
      </c>
      <c r="O283" s="115" t="s">
        <v>2744</v>
      </c>
      <c r="P283" s="115" t="s">
        <v>2895</v>
      </c>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1:76" x14ac:dyDescent="0.2">
      <c r="A284" s="115"/>
      <c r="B284" s="115"/>
      <c r="C284" s="115"/>
      <c r="D284" s="115"/>
      <c r="E284" s="115"/>
      <c r="F284" s="115"/>
      <c r="G284" s="115"/>
      <c r="H284" s="115"/>
      <c r="I284" s="115"/>
      <c r="J284" s="115"/>
      <c r="K284" s="115"/>
      <c r="L284" s="115"/>
      <c r="M284" s="115">
        <v>4.0999999999999996</v>
      </c>
      <c r="N284" s="115"/>
      <c r="O284" s="115"/>
      <c r="P284" s="115"/>
      <c r="Q284" s="115" t="s">
        <v>2987</v>
      </c>
      <c r="R284" s="115" t="s">
        <v>2993</v>
      </c>
      <c r="S284" s="115" t="s">
        <v>2985</v>
      </c>
      <c r="T284" s="115" t="s">
        <v>2988</v>
      </c>
      <c r="U284" s="115" t="s">
        <v>2994</v>
      </c>
      <c r="V284" s="115" t="s">
        <v>2983</v>
      </c>
      <c r="W284" s="115" t="s">
        <v>2995</v>
      </c>
      <c r="X284" s="115" t="s">
        <v>2996</v>
      </c>
      <c r="Y284" s="115" t="s">
        <v>2989</v>
      </c>
      <c r="Z284" s="115" t="s">
        <v>2997</v>
      </c>
      <c r="AA284" s="115" t="s">
        <v>2998</v>
      </c>
      <c r="AB284" s="115" t="s">
        <v>2999</v>
      </c>
      <c r="AC284" s="115" t="s">
        <v>3000</v>
      </c>
      <c r="AD284" s="115" t="s">
        <v>3001</v>
      </c>
      <c r="AE284" s="115" t="s">
        <v>2991</v>
      </c>
      <c r="AF284" s="115" t="s">
        <v>2999</v>
      </c>
      <c r="AG284" s="115" t="s">
        <v>3002</v>
      </c>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1:76" x14ac:dyDescent="0.2">
      <c r="A285" s="115"/>
      <c r="B285" s="115"/>
      <c r="C285" s="115"/>
      <c r="D285" s="115"/>
      <c r="E285" s="115"/>
      <c r="F285" s="115"/>
      <c r="G285" s="115"/>
      <c r="H285" s="115"/>
      <c r="I285" s="115"/>
      <c r="J285" s="115"/>
      <c r="K285" s="115"/>
      <c r="L285" s="115"/>
      <c r="M285" s="115"/>
      <c r="N285" s="115"/>
      <c r="O285" s="115" t="s">
        <v>3023</v>
      </c>
      <c r="P285" s="115" t="s">
        <v>2910</v>
      </c>
      <c r="Q285" s="115" t="s">
        <v>2896</v>
      </c>
      <c r="R285" s="115" t="s">
        <v>2820</v>
      </c>
      <c r="S285" s="115" t="s">
        <v>2897</v>
      </c>
      <c r="T285" s="115" t="s">
        <v>3008</v>
      </c>
      <c r="U285" s="115" t="s">
        <v>3009</v>
      </c>
      <c r="V285" s="115" t="s">
        <v>3010</v>
      </c>
      <c r="W285" s="115" t="s">
        <v>3011</v>
      </c>
      <c r="X285" s="115" t="s">
        <v>3012</v>
      </c>
      <c r="Y285" s="115" t="s">
        <v>2743</v>
      </c>
      <c r="Z285" s="115" t="s">
        <v>3013</v>
      </c>
      <c r="AA285" s="115" t="s">
        <v>2745</v>
      </c>
      <c r="AB285" s="115" t="s">
        <v>2900</v>
      </c>
      <c r="AC285" s="115" t="s">
        <v>2902</v>
      </c>
      <c r="AD285" s="115" t="s">
        <v>3014</v>
      </c>
      <c r="AE285" s="115" t="s">
        <v>2901</v>
      </c>
      <c r="AF285" s="115" t="s">
        <v>2903</v>
      </c>
      <c r="AG285" s="115" t="s">
        <v>2747</v>
      </c>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1:76" x14ac:dyDescent="0.2">
      <c r="A286" s="115"/>
      <c r="B286" s="115"/>
      <c r="C286" s="115"/>
      <c r="D286" s="115"/>
      <c r="E286" s="115"/>
      <c r="F286" s="115"/>
      <c r="G286" s="115"/>
      <c r="H286" s="115"/>
      <c r="I286" s="115"/>
      <c r="J286" s="115"/>
      <c r="K286" s="115"/>
      <c r="L286" s="115"/>
      <c r="M286" s="115">
        <v>95</v>
      </c>
      <c r="N286" s="590">
        <v>9990</v>
      </c>
      <c r="O286" s="115"/>
      <c r="P286" s="115" t="s">
        <v>3024</v>
      </c>
      <c r="Q286" s="115"/>
      <c r="R286" s="115"/>
      <c r="S286" s="115"/>
      <c r="T286" s="115"/>
      <c r="U286" s="115"/>
      <c r="V286" s="115"/>
      <c r="W286" s="115"/>
      <c r="X286" s="115"/>
      <c r="Y286" s="115"/>
      <c r="Z286" s="115"/>
      <c r="AA286" s="115"/>
      <c r="AB286" s="115"/>
      <c r="AC286" s="115"/>
      <c r="AD286" s="115"/>
      <c r="AE286" s="115"/>
      <c r="AF286" s="115"/>
      <c r="AG286" s="115" t="s">
        <v>2748</v>
      </c>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1:76" x14ac:dyDescent="0.2">
      <c r="A287" s="115"/>
      <c r="B287" s="115"/>
      <c r="C287" s="115"/>
      <c r="D287" s="115"/>
      <c r="E287" s="115"/>
      <c r="F287" s="115"/>
      <c r="G287" s="115"/>
      <c r="H287" s="115"/>
      <c r="I287" s="115"/>
      <c r="J287" s="115"/>
      <c r="K287" s="115"/>
      <c r="L287" s="115"/>
      <c r="M287" s="115"/>
      <c r="N287" s="115"/>
      <c r="O287" s="115"/>
      <c r="P287" s="115"/>
      <c r="Q287" s="115" t="s">
        <v>2905</v>
      </c>
      <c r="R287" s="115" t="s">
        <v>3026</v>
      </c>
      <c r="S287" s="115" t="s">
        <v>2750</v>
      </c>
      <c r="T287" s="115" t="s">
        <v>3027</v>
      </c>
      <c r="U287" s="115" t="s">
        <v>3030</v>
      </c>
      <c r="V287" s="115" t="s">
        <v>3031</v>
      </c>
      <c r="W287" s="115" t="s">
        <v>2754</v>
      </c>
      <c r="X287" s="115" t="s">
        <v>3033</v>
      </c>
      <c r="Y287" s="115" t="s">
        <v>2769</v>
      </c>
      <c r="Z287" s="115" t="s">
        <v>2937</v>
      </c>
      <c r="AA287" s="115" t="s">
        <v>2912</v>
      </c>
      <c r="AB287" s="115" t="s">
        <v>2913</v>
      </c>
      <c r="AC287" s="115" t="s">
        <v>3035</v>
      </c>
      <c r="AD287" s="115" t="s">
        <v>3036</v>
      </c>
      <c r="AE287" s="115" t="s">
        <v>3037</v>
      </c>
      <c r="AF287" s="115" t="s">
        <v>2913</v>
      </c>
      <c r="AG287" s="115" t="s">
        <v>2637</v>
      </c>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1:76" x14ac:dyDescent="0.2">
      <c r="A288" s="115"/>
      <c r="B288" s="115"/>
      <c r="C288" s="115"/>
      <c r="D288" s="115"/>
      <c r="E288" s="115"/>
      <c r="F288" s="115"/>
      <c r="G288" s="115"/>
      <c r="H288" s="115"/>
      <c r="I288" s="115"/>
      <c r="J288" s="115"/>
      <c r="K288" s="115"/>
      <c r="L288" s="115"/>
      <c r="M288" s="115">
        <v>6</v>
      </c>
      <c r="N288" s="115"/>
      <c r="O288" s="590">
        <v>9920</v>
      </c>
      <c r="P288" s="590">
        <v>11590</v>
      </c>
      <c r="Q288" s="115" t="s">
        <v>2978</v>
      </c>
      <c r="R288" s="115" t="s">
        <v>2980</v>
      </c>
      <c r="S288" s="115" t="s">
        <v>2911</v>
      </c>
      <c r="T288" s="115" t="s">
        <v>3028</v>
      </c>
      <c r="U288" s="115"/>
      <c r="V288" s="115"/>
      <c r="W288" s="115" t="s">
        <v>2755</v>
      </c>
      <c r="X288" s="115"/>
      <c r="Y288" s="115"/>
      <c r="Z288" s="115" t="s">
        <v>3034</v>
      </c>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1:76" x14ac:dyDescent="0.2">
      <c r="A289" s="115"/>
      <c r="B289" s="115"/>
      <c r="C289" s="115"/>
      <c r="D289" s="115"/>
      <c r="E289" s="115"/>
      <c r="F289" s="115"/>
      <c r="G289" s="115"/>
      <c r="H289" s="115"/>
      <c r="I289" s="115"/>
      <c r="J289" s="115"/>
      <c r="K289" s="115"/>
      <c r="L289" s="115"/>
      <c r="M289" s="115">
        <v>5</v>
      </c>
      <c r="N289" s="115">
        <v>4.0999999999999996</v>
      </c>
      <c r="O289" s="115"/>
      <c r="P289" s="115"/>
      <c r="Q289" s="115" t="s">
        <v>3025</v>
      </c>
      <c r="R289" s="115"/>
      <c r="S289" s="115"/>
      <c r="T289" s="115" t="s">
        <v>3029</v>
      </c>
      <c r="U289" s="115"/>
      <c r="V289" s="115"/>
      <c r="W289" s="115" t="s">
        <v>3032</v>
      </c>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1:76" x14ac:dyDescent="0.2">
      <c r="A290" s="115"/>
      <c r="B290" s="115"/>
      <c r="C290" s="115"/>
      <c r="D290" s="115"/>
      <c r="E290" s="115"/>
      <c r="F290" s="115"/>
      <c r="G290" s="115"/>
      <c r="H290" s="115"/>
      <c r="I290" s="115"/>
      <c r="J290" s="115"/>
      <c r="K290" s="115"/>
      <c r="L290" s="115"/>
      <c r="M290" s="115">
        <v>51</v>
      </c>
      <c r="N290" s="115"/>
      <c r="O290" s="115"/>
      <c r="P290" s="115"/>
      <c r="Q290" s="590">
        <v>11710</v>
      </c>
      <c r="R290" s="590">
        <v>17960</v>
      </c>
      <c r="S290" s="590">
        <v>14290</v>
      </c>
      <c r="T290" s="590">
        <v>16400</v>
      </c>
      <c r="U290" s="590">
        <v>16750</v>
      </c>
      <c r="V290" s="590">
        <v>14990</v>
      </c>
      <c r="W290" s="590">
        <v>15137</v>
      </c>
      <c r="X290" s="590">
        <v>15700</v>
      </c>
      <c r="Y290" s="590">
        <v>11990</v>
      </c>
      <c r="Z290" s="590">
        <v>16100</v>
      </c>
      <c r="AA290" s="590">
        <v>10890</v>
      </c>
      <c r="AB290" s="590">
        <v>20800</v>
      </c>
      <c r="AC290" s="590">
        <v>10390</v>
      </c>
      <c r="AD290" s="590">
        <v>17420</v>
      </c>
      <c r="AE290" s="590">
        <v>11760</v>
      </c>
      <c r="AF290" s="590">
        <v>20800</v>
      </c>
      <c r="AG290" s="115" t="s">
        <v>2637</v>
      </c>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1:76" x14ac:dyDescent="0.2">
      <c r="A291" s="115"/>
      <c r="B291" s="115"/>
      <c r="C291" s="115"/>
      <c r="D291" s="115"/>
      <c r="E291" s="115"/>
      <c r="F291" s="115"/>
      <c r="G291" s="115"/>
      <c r="H291" s="115"/>
      <c r="I291" s="115"/>
      <c r="J291" s="115"/>
      <c r="K291" s="115"/>
      <c r="L291" s="115"/>
      <c r="M291" s="115"/>
      <c r="N291" s="115">
        <v>95</v>
      </c>
      <c r="O291" s="115">
        <v>4.2</v>
      </c>
      <c r="P291" s="115">
        <v>4.2</v>
      </c>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1:76" x14ac:dyDescent="0.2">
      <c r="A292" s="115"/>
      <c r="B292" s="115"/>
      <c r="C292" s="115"/>
      <c r="D292" s="115"/>
      <c r="E292" s="115"/>
      <c r="F292" s="115"/>
      <c r="G292" s="115"/>
      <c r="H292" s="115"/>
      <c r="I292" s="115"/>
      <c r="J292" s="115"/>
      <c r="K292" s="115"/>
      <c r="L292" s="115"/>
      <c r="M292" s="115">
        <v>69</v>
      </c>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1:76" x14ac:dyDescent="0.2">
      <c r="A293" s="115"/>
      <c r="B293" s="115"/>
      <c r="C293" s="115"/>
      <c r="D293" s="115"/>
      <c r="E293" s="115"/>
      <c r="F293" s="115"/>
      <c r="G293" s="115"/>
      <c r="H293" s="115"/>
      <c r="I293" s="115"/>
      <c r="J293" s="115"/>
      <c r="K293" s="115"/>
      <c r="L293" s="115"/>
      <c r="M293" s="115"/>
      <c r="N293" s="115">
        <v>6</v>
      </c>
      <c r="O293" s="115">
        <v>95</v>
      </c>
      <c r="P293" s="115">
        <v>95</v>
      </c>
      <c r="Q293" s="115">
        <v>4.2</v>
      </c>
      <c r="R293" s="115">
        <v>4.2</v>
      </c>
      <c r="S293" s="115">
        <v>4.2</v>
      </c>
      <c r="T293" s="115">
        <v>4.2</v>
      </c>
      <c r="U293" s="115">
        <v>4.2</v>
      </c>
      <c r="V293" s="115">
        <v>4.3</v>
      </c>
      <c r="W293" s="115">
        <v>4.3</v>
      </c>
      <c r="X293" s="115">
        <v>4.3</v>
      </c>
      <c r="Y293" s="115">
        <v>4.4000000000000004</v>
      </c>
      <c r="Z293" s="115">
        <v>4.4000000000000004</v>
      </c>
      <c r="AA293" s="115">
        <v>4.4000000000000004</v>
      </c>
      <c r="AB293" s="115">
        <v>4.5</v>
      </c>
      <c r="AC293" s="115">
        <v>4.5999999999999996</v>
      </c>
      <c r="AD293" s="115">
        <v>4.5999999999999996</v>
      </c>
      <c r="AE293" s="115">
        <v>4.7</v>
      </c>
      <c r="AF293" s="115">
        <v>4.7</v>
      </c>
      <c r="AG293" s="115">
        <v>6</v>
      </c>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1:76" x14ac:dyDescent="0.2">
      <c r="A294" s="115"/>
      <c r="B294" s="115"/>
      <c r="C294" s="115"/>
      <c r="D294" s="115"/>
      <c r="E294" s="115"/>
      <c r="F294" s="115"/>
      <c r="G294" s="115"/>
      <c r="H294" s="115"/>
      <c r="I294" s="115"/>
      <c r="J294" s="115"/>
      <c r="K294" s="115"/>
      <c r="L294" s="115"/>
      <c r="M294" s="115" t="s">
        <v>2762</v>
      </c>
      <c r="N294" s="115">
        <v>4</v>
      </c>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1:76" x14ac:dyDescent="0.2">
      <c r="A295" s="115"/>
      <c r="B295" s="115"/>
      <c r="C295" s="115"/>
      <c r="D295" s="115"/>
      <c r="E295" s="115"/>
      <c r="F295" s="115"/>
      <c r="G295" s="115"/>
      <c r="H295" s="115"/>
      <c r="I295" s="115"/>
      <c r="J295" s="115"/>
      <c r="K295" s="115"/>
      <c r="L295" s="115"/>
      <c r="M295" s="590">
        <v>3466</v>
      </c>
      <c r="N295" s="115">
        <v>51</v>
      </c>
      <c r="O295" s="115">
        <v>6</v>
      </c>
      <c r="P295" s="115">
        <v>6</v>
      </c>
      <c r="Q295" s="115">
        <v>97</v>
      </c>
      <c r="R295" s="115">
        <v>97</v>
      </c>
      <c r="S295" s="115">
        <v>99</v>
      </c>
      <c r="T295" s="115">
        <v>99</v>
      </c>
      <c r="U295" s="115">
        <v>99</v>
      </c>
      <c r="V295" s="115">
        <v>99</v>
      </c>
      <c r="W295" s="115">
        <v>99</v>
      </c>
      <c r="X295" s="115">
        <v>99</v>
      </c>
      <c r="Y295" s="115">
        <v>102</v>
      </c>
      <c r="Z295" s="115">
        <v>102</v>
      </c>
      <c r="AA295" s="115">
        <v>102</v>
      </c>
      <c r="AB295" s="115">
        <v>105</v>
      </c>
      <c r="AC295" s="115">
        <v>106</v>
      </c>
      <c r="AD295" s="115">
        <v>106</v>
      </c>
      <c r="AE295" s="115">
        <v>106</v>
      </c>
      <c r="AF295" s="115">
        <v>109</v>
      </c>
      <c r="AG295" s="115">
        <v>139</v>
      </c>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1:76" x14ac:dyDescent="0.2">
      <c r="A296" s="115"/>
      <c r="B296" s="115"/>
      <c r="C296" s="115"/>
      <c r="D296" s="115"/>
      <c r="E296" s="115"/>
      <c r="F296" s="115"/>
      <c r="G296" s="115"/>
      <c r="H296" s="115"/>
      <c r="I296" s="115"/>
      <c r="J296" s="115"/>
      <c r="K296" s="115"/>
      <c r="L296" s="115"/>
      <c r="M296" s="590">
        <v>1884</v>
      </c>
      <c r="N296" s="115"/>
      <c r="O296" s="115">
        <v>4</v>
      </c>
      <c r="P296" s="115">
        <v>4</v>
      </c>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1:76" x14ac:dyDescent="0.2">
      <c r="A297" s="115"/>
      <c r="B297" s="115"/>
      <c r="C297" s="115"/>
      <c r="D297" s="115"/>
      <c r="E297" s="115"/>
      <c r="F297" s="115"/>
      <c r="G297" s="115"/>
      <c r="H297" s="115"/>
      <c r="I297" s="115"/>
      <c r="J297" s="115"/>
      <c r="K297" s="115"/>
      <c r="L297" s="115"/>
      <c r="M297" s="590">
        <v>1460</v>
      </c>
      <c r="N297" s="115">
        <v>69</v>
      </c>
      <c r="O297" s="115">
        <v>44</v>
      </c>
      <c r="P297" s="115">
        <v>52</v>
      </c>
      <c r="Q297" s="115">
        <v>6</v>
      </c>
      <c r="R297" s="115">
        <v>6</v>
      </c>
      <c r="S297" s="115">
        <v>6</v>
      </c>
      <c r="T297" s="115">
        <v>6</v>
      </c>
      <c r="U297" s="115">
        <v>6</v>
      </c>
      <c r="V297" s="115">
        <v>6</v>
      </c>
      <c r="W297" s="115">
        <v>6</v>
      </c>
      <c r="X297" s="115">
        <v>6</v>
      </c>
      <c r="Y297" s="115">
        <v>6</v>
      </c>
      <c r="Z297" s="115">
        <v>6</v>
      </c>
      <c r="AA297" s="115">
        <v>6</v>
      </c>
      <c r="AB297" s="115">
        <v>6</v>
      </c>
      <c r="AC297" s="115">
        <v>6</v>
      </c>
      <c r="AD297" s="115">
        <v>6</v>
      </c>
      <c r="AE297" s="115">
        <v>6</v>
      </c>
      <c r="AF297" s="115">
        <v>6</v>
      </c>
      <c r="AG297" s="115">
        <v>6</v>
      </c>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1:76" x14ac:dyDescent="0.2">
      <c r="A298" s="115"/>
      <c r="B298" s="115"/>
      <c r="C298" s="115"/>
      <c r="D298" s="115"/>
      <c r="E298" s="115"/>
      <c r="F298" s="115"/>
      <c r="G298" s="115"/>
      <c r="H298" s="115"/>
      <c r="I298" s="115"/>
      <c r="J298" s="115"/>
      <c r="K298" s="115"/>
      <c r="L298" s="115"/>
      <c r="M298" s="115"/>
      <c r="N298" s="115"/>
      <c r="O298" s="115"/>
      <c r="P298" s="115"/>
      <c r="Q298" s="115">
        <v>4</v>
      </c>
      <c r="R298" s="115">
        <v>5</v>
      </c>
      <c r="S298" s="115">
        <v>4</v>
      </c>
      <c r="T298" s="115">
        <v>4</v>
      </c>
      <c r="U298" s="115">
        <v>5</v>
      </c>
      <c r="V298" s="115">
        <v>5</v>
      </c>
      <c r="W298" s="115">
        <v>5</v>
      </c>
      <c r="X298" s="115">
        <v>5</v>
      </c>
      <c r="Y298" s="115">
        <v>5</v>
      </c>
      <c r="Z298" s="115">
        <v>5</v>
      </c>
      <c r="AA298" s="115">
        <v>5</v>
      </c>
      <c r="AB298" s="115">
        <v>4</v>
      </c>
      <c r="AC298" s="115">
        <v>5</v>
      </c>
      <c r="AD298" s="115">
        <v>5</v>
      </c>
      <c r="AE298" s="115">
        <v>5</v>
      </c>
      <c r="AF298" s="115">
        <v>5</v>
      </c>
      <c r="AG298" s="115">
        <v>5</v>
      </c>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1:76" x14ac:dyDescent="0.2">
      <c r="A299" s="115"/>
      <c r="B299" s="115"/>
      <c r="C299" s="115"/>
      <c r="D299" s="115"/>
      <c r="E299" s="115"/>
      <c r="F299" s="115"/>
      <c r="G299" s="115"/>
      <c r="H299" s="115"/>
      <c r="I299" s="115"/>
      <c r="J299" s="115"/>
      <c r="K299" s="115"/>
      <c r="L299" s="115"/>
      <c r="M299" s="115"/>
      <c r="N299" s="115" t="s">
        <v>2762</v>
      </c>
      <c r="O299" s="115">
        <v>60</v>
      </c>
      <c r="P299" s="115">
        <v>71</v>
      </c>
      <c r="Q299" s="115">
        <v>52</v>
      </c>
      <c r="R299" s="115">
        <v>60</v>
      </c>
      <c r="S299" s="115">
        <v>63</v>
      </c>
      <c r="T299" s="115">
        <v>66</v>
      </c>
      <c r="U299" s="115">
        <v>63</v>
      </c>
      <c r="V299" s="115">
        <v>66</v>
      </c>
      <c r="W299" s="115">
        <v>48</v>
      </c>
      <c r="X299" s="115">
        <v>72</v>
      </c>
      <c r="Y299" s="115">
        <v>60</v>
      </c>
      <c r="Z299" s="115">
        <v>50</v>
      </c>
      <c r="AA299" s="115">
        <v>48</v>
      </c>
      <c r="AB299" s="115">
        <v>100</v>
      </c>
      <c r="AC299" s="115">
        <v>49</v>
      </c>
      <c r="AD299" s="115">
        <v>75</v>
      </c>
      <c r="AE299" s="115">
        <v>44</v>
      </c>
      <c r="AF299" s="115">
        <v>100</v>
      </c>
      <c r="AG299" s="115">
        <v>141</v>
      </c>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1:76" x14ac:dyDescent="0.2">
      <c r="A300" s="115"/>
      <c r="B300" s="115"/>
      <c r="C300" s="115"/>
      <c r="D300" s="115"/>
      <c r="E300" s="115"/>
      <c r="F300" s="115"/>
      <c r="G300" s="115"/>
      <c r="H300" s="115"/>
      <c r="I300" s="115"/>
      <c r="J300" s="115"/>
      <c r="K300" s="115"/>
      <c r="L300" s="115"/>
      <c r="M300" s="115"/>
      <c r="N300" s="590">
        <v>3455</v>
      </c>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1:76" x14ac:dyDescent="0.2">
      <c r="A301" s="115"/>
      <c r="B301" s="115"/>
      <c r="C301" s="115"/>
      <c r="D301" s="115"/>
      <c r="E301" s="115"/>
      <c r="F301" s="115"/>
      <c r="G301" s="115"/>
      <c r="H301" s="115"/>
      <c r="I301" s="115"/>
      <c r="J301" s="115"/>
      <c r="K301" s="115"/>
      <c r="L301" s="115"/>
      <c r="M301" s="115"/>
      <c r="N301" s="590">
        <v>1968</v>
      </c>
      <c r="O301" s="115" t="s">
        <v>2762</v>
      </c>
      <c r="P301" s="115" t="s">
        <v>2762</v>
      </c>
      <c r="Q301" s="115">
        <v>71</v>
      </c>
      <c r="R301" s="115">
        <v>82</v>
      </c>
      <c r="S301" s="115">
        <v>86</v>
      </c>
      <c r="T301" s="115">
        <v>90</v>
      </c>
      <c r="U301" s="115">
        <v>86</v>
      </c>
      <c r="V301" s="115">
        <v>90</v>
      </c>
      <c r="W301" s="115">
        <v>65</v>
      </c>
      <c r="X301" s="115">
        <v>98</v>
      </c>
      <c r="Y301" s="115">
        <v>82</v>
      </c>
      <c r="Z301" s="115">
        <v>68</v>
      </c>
      <c r="AA301" s="115">
        <v>65</v>
      </c>
      <c r="AB301" s="115">
        <v>136</v>
      </c>
      <c r="AC301" s="115">
        <v>67</v>
      </c>
      <c r="AD301" s="115">
        <v>102</v>
      </c>
      <c r="AE301" s="115">
        <v>60</v>
      </c>
      <c r="AF301" s="115">
        <v>136</v>
      </c>
      <c r="AG301" s="115">
        <v>192</v>
      </c>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1:76" x14ac:dyDescent="0.2">
      <c r="A302" s="115"/>
      <c r="B302" s="115"/>
      <c r="C302" s="115"/>
      <c r="D302" s="115"/>
      <c r="E302" s="115"/>
      <c r="F302" s="115"/>
      <c r="G302" s="115"/>
      <c r="H302" s="115"/>
      <c r="I302" s="115"/>
      <c r="J302" s="115"/>
      <c r="K302" s="115"/>
      <c r="L302" s="590"/>
      <c r="M302" s="115"/>
      <c r="N302" s="590">
        <v>1460</v>
      </c>
      <c r="O302" s="590">
        <v>3563</v>
      </c>
      <c r="P302" s="590">
        <v>3595</v>
      </c>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1:76" x14ac:dyDescent="0.2">
      <c r="A303" s="115"/>
      <c r="B303" s="115"/>
      <c r="C303" s="115"/>
      <c r="D303" s="115"/>
      <c r="E303" s="115"/>
      <c r="F303" s="115"/>
      <c r="G303" s="115"/>
      <c r="H303" s="115"/>
      <c r="I303" s="115"/>
      <c r="J303" s="115"/>
      <c r="K303" s="115"/>
      <c r="L303" s="115"/>
      <c r="M303" s="115"/>
      <c r="N303" s="115"/>
      <c r="O303" s="590">
        <v>1910</v>
      </c>
      <c r="P303" s="115" t="s">
        <v>2637</v>
      </c>
      <c r="Q303" s="115" t="s">
        <v>2762</v>
      </c>
      <c r="R303" s="115" t="s">
        <v>2762</v>
      </c>
      <c r="S303" s="115" t="s">
        <v>2822</v>
      </c>
      <c r="T303" s="115" t="s">
        <v>2785</v>
      </c>
      <c r="U303" s="115" t="s">
        <v>2762</v>
      </c>
      <c r="V303" s="115" t="s">
        <v>2762</v>
      </c>
      <c r="W303" s="115" t="s">
        <v>2762</v>
      </c>
      <c r="X303" s="115" t="s">
        <v>2762</v>
      </c>
      <c r="Y303" s="115" t="s">
        <v>2762</v>
      </c>
      <c r="Z303" s="115" t="s">
        <v>3040</v>
      </c>
      <c r="AA303" s="115" t="s">
        <v>2762</v>
      </c>
      <c r="AB303" s="115" t="s">
        <v>2785</v>
      </c>
      <c r="AC303" s="115" t="s">
        <v>2762</v>
      </c>
      <c r="AD303" s="115" t="s">
        <v>3041</v>
      </c>
      <c r="AE303" s="115" t="s">
        <v>2762</v>
      </c>
      <c r="AF303" s="115" t="s">
        <v>2785</v>
      </c>
      <c r="AG303" s="115" t="s">
        <v>2785</v>
      </c>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1:76" x14ac:dyDescent="0.2">
      <c r="A304" s="115"/>
      <c r="B304" s="115"/>
      <c r="C304" s="115"/>
      <c r="D304" s="115"/>
      <c r="E304" s="115"/>
      <c r="F304" s="115"/>
      <c r="G304" s="115"/>
      <c r="H304" s="115"/>
      <c r="I304" s="115"/>
      <c r="J304" s="115"/>
      <c r="K304" s="115"/>
      <c r="L304" s="115"/>
      <c r="M304" s="115" t="s">
        <v>3058</v>
      </c>
      <c r="N304" s="115"/>
      <c r="O304" s="590">
        <v>1463</v>
      </c>
      <c r="P304" s="590">
        <v>1554</v>
      </c>
      <c r="Q304" s="590">
        <v>3495</v>
      </c>
      <c r="R304" s="590">
        <v>3973</v>
      </c>
      <c r="S304" s="590">
        <v>3653</v>
      </c>
      <c r="T304" s="590">
        <v>3698</v>
      </c>
      <c r="U304" s="590">
        <v>3842</v>
      </c>
      <c r="V304" s="590">
        <v>3850</v>
      </c>
      <c r="W304" s="590">
        <v>3969</v>
      </c>
      <c r="X304" s="590">
        <v>3825</v>
      </c>
      <c r="Y304" s="590">
        <v>3941</v>
      </c>
      <c r="Z304" s="590">
        <v>3962</v>
      </c>
      <c r="AA304" s="590">
        <v>3595</v>
      </c>
      <c r="AB304" s="590">
        <v>3821</v>
      </c>
      <c r="AC304" s="590">
        <v>3665</v>
      </c>
      <c r="AD304" s="590">
        <v>3995</v>
      </c>
      <c r="AE304" s="590">
        <v>3992</v>
      </c>
      <c r="AF304" s="590">
        <v>3982</v>
      </c>
      <c r="AG304" s="115" t="s">
        <v>2637</v>
      </c>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1:76" x14ac:dyDescent="0.2">
      <c r="A305" s="115"/>
      <c r="B305" s="115"/>
      <c r="C305" s="115"/>
      <c r="D305" s="115"/>
      <c r="E305" s="115"/>
      <c r="F305" s="115"/>
      <c r="G305" s="115"/>
      <c r="H305" s="115"/>
      <c r="I305" s="115"/>
      <c r="J305" s="115" t="s">
        <v>2988</v>
      </c>
      <c r="K305" s="115" t="s">
        <v>2540</v>
      </c>
      <c r="L305" s="115"/>
      <c r="M305" s="115"/>
      <c r="N305" s="115"/>
      <c r="O305" s="115" t="s">
        <v>2772</v>
      </c>
      <c r="P305" s="115"/>
      <c r="Q305" s="590">
        <v>1752</v>
      </c>
      <c r="R305" s="590">
        <v>1906</v>
      </c>
      <c r="S305" s="590">
        <v>1882</v>
      </c>
      <c r="T305" s="590">
        <v>1966</v>
      </c>
      <c r="U305" s="115" t="s">
        <v>3042</v>
      </c>
      <c r="V305" s="590">
        <v>1950</v>
      </c>
      <c r="W305" s="590">
        <v>1978</v>
      </c>
      <c r="X305" s="590">
        <v>1937</v>
      </c>
      <c r="Y305" s="590">
        <v>1994</v>
      </c>
      <c r="Z305" s="590">
        <v>2004</v>
      </c>
      <c r="AA305" s="590">
        <v>1875</v>
      </c>
      <c r="AB305" s="590">
        <v>1932</v>
      </c>
      <c r="AC305" s="590">
        <v>1905</v>
      </c>
      <c r="AD305" s="590">
        <v>1980</v>
      </c>
      <c r="AE305" s="590">
        <v>1958</v>
      </c>
      <c r="AF305" s="590">
        <v>1932</v>
      </c>
      <c r="AG305" s="115" t="s">
        <v>2637</v>
      </c>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1:76" x14ac:dyDescent="0.2">
      <c r="A306" s="115"/>
      <c r="B306" s="115"/>
      <c r="C306" s="115" t="s">
        <v>2983</v>
      </c>
      <c r="D306" s="115" t="s">
        <v>2984</v>
      </c>
      <c r="E306" s="115" t="s">
        <v>2985</v>
      </c>
      <c r="F306" s="115" t="s">
        <v>2986</v>
      </c>
      <c r="G306" s="115" t="s">
        <v>2987</v>
      </c>
      <c r="H306" s="115" t="s">
        <v>2983</v>
      </c>
      <c r="I306" s="115" t="s">
        <v>2540</v>
      </c>
      <c r="J306" s="115" t="s">
        <v>2899</v>
      </c>
      <c r="K306" s="115" t="s">
        <v>2894</v>
      </c>
      <c r="L306" s="115"/>
      <c r="M306" s="115" t="s">
        <v>3075</v>
      </c>
      <c r="N306" s="115"/>
      <c r="O306" s="115"/>
      <c r="P306" s="115"/>
      <c r="Q306" s="590">
        <v>1554</v>
      </c>
      <c r="R306" s="590">
        <v>1416</v>
      </c>
      <c r="S306" s="590">
        <v>1551</v>
      </c>
      <c r="T306" s="590">
        <v>1484</v>
      </c>
      <c r="U306" s="590">
        <v>1518</v>
      </c>
      <c r="V306" s="590">
        <v>1535</v>
      </c>
      <c r="W306" s="590">
        <v>1495</v>
      </c>
      <c r="X306" s="590">
        <v>1520</v>
      </c>
      <c r="Y306" s="590">
        <v>1524</v>
      </c>
      <c r="Z306" s="590">
        <v>1460</v>
      </c>
      <c r="AA306" s="590">
        <v>1480</v>
      </c>
      <c r="AB306" s="590">
        <v>1414</v>
      </c>
      <c r="AC306" s="590">
        <v>1500</v>
      </c>
      <c r="AD306" s="590">
        <v>1525</v>
      </c>
      <c r="AE306" s="590">
        <v>1452</v>
      </c>
      <c r="AF306" s="590">
        <v>1425</v>
      </c>
      <c r="AG306" s="115" t="s">
        <v>2637</v>
      </c>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1:76" x14ac:dyDescent="0.2">
      <c r="A307" s="115" t="s">
        <v>3003</v>
      </c>
      <c r="B307" s="115" t="s">
        <v>2495</v>
      </c>
      <c r="C307" s="115" t="s">
        <v>2891</v>
      </c>
      <c r="D307" s="115" t="s">
        <v>2892</v>
      </c>
      <c r="E307" s="115" t="s">
        <v>3004</v>
      </c>
      <c r="F307" s="115" t="s">
        <v>3005</v>
      </c>
      <c r="G307" s="115" t="s">
        <v>2893</v>
      </c>
      <c r="H307" s="115" t="s">
        <v>3006</v>
      </c>
      <c r="I307" s="115" t="s">
        <v>2819</v>
      </c>
      <c r="J307" s="115"/>
      <c r="K307" s="115"/>
      <c r="L307" s="115"/>
      <c r="M307" s="115"/>
      <c r="N307" s="115"/>
      <c r="O307" s="115"/>
      <c r="P307" s="115"/>
      <c r="Q307" s="115"/>
      <c r="R307" s="115" t="s">
        <v>3026</v>
      </c>
      <c r="S307" s="115"/>
      <c r="T307" s="115" t="s">
        <v>3027</v>
      </c>
      <c r="U307" s="115"/>
      <c r="V307" s="115"/>
      <c r="W307" s="115" t="s">
        <v>2918</v>
      </c>
      <c r="X307" s="115"/>
      <c r="Y307" s="115" t="s">
        <v>2769</v>
      </c>
      <c r="Z307" s="115" t="s">
        <v>3049</v>
      </c>
      <c r="AA307" s="115" t="s">
        <v>2784</v>
      </c>
      <c r="AB307" s="115" t="s">
        <v>2920</v>
      </c>
      <c r="AC307" s="115"/>
      <c r="AD307" s="115"/>
      <c r="AE307" s="115" t="s">
        <v>2753</v>
      </c>
      <c r="AF307" s="115" t="s">
        <v>2920</v>
      </c>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1:76" x14ac:dyDescent="0.2">
      <c r="A308" s="115"/>
      <c r="B308" s="115"/>
      <c r="C308" s="115"/>
      <c r="D308" s="115"/>
      <c r="E308" s="115"/>
      <c r="F308" s="115"/>
      <c r="G308" s="115"/>
      <c r="H308" s="115"/>
      <c r="I308" s="115"/>
      <c r="J308" s="115" t="s">
        <v>3020</v>
      </c>
      <c r="K308" s="115" t="s">
        <v>2908</v>
      </c>
      <c r="L308" s="115"/>
      <c r="M308" s="115"/>
      <c r="N308" s="115"/>
      <c r="O308" s="115"/>
      <c r="P308" s="115"/>
      <c r="Q308" s="115"/>
      <c r="R308" s="115" t="s">
        <v>2980</v>
      </c>
      <c r="S308" s="115"/>
      <c r="T308" s="115" t="s">
        <v>3028</v>
      </c>
      <c r="U308" s="115"/>
      <c r="V308" s="115"/>
      <c r="W308" s="115" t="s">
        <v>2755</v>
      </c>
      <c r="X308" s="115"/>
      <c r="Y308" s="115" t="s">
        <v>2770</v>
      </c>
      <c r="Z308" s="115" t="s">
        <v>2771</v>
      </c>
      <c r="AA308" s="115" t="s">
        <v>2919</v>
      </c>
      <c r="AB308" s="115" t="s">
        <v>2921</v>
      </c>
      <c r="AC308" s="115"/>
      <c r="AD308" s="115"/>
      <c r="AE308" s="115" t="s">
        <v>2982</v>
      </c>
      <c r="AF308" s="115" t="s">
        <v>3051</v>
      </c>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1:76" x14ac:dyDescent="0.2">
      <c r="A309" s="115" t="s">
        <v>3003</v>
      </c>
      <c r="B309" s="115" t="s">
        <v>2749</v>
      </c>
      <c r="C309" s="115" t="s">
        <v>2904</v>
      </c>
      <c r="D309" s="115" t="s">
        <v>3015</v>
      </c>
      <c r="E309" s="115" t="s">
        <v>3016</v>
      </c>
      <c r="F309" s="115" t="s">
        <v>3018</v>
      </c>
      <c r="G309" s="115" t="s">
        <v>2905</v>
      </c>
      <c r="H309" s="115" t="s">
        <v>3019</v>
      </c>
      <c r="I309" s="115" t="s">
        <v>2907</v>
      </c>
      <c r="J309" s="115" t="s">
        <v>3021</v>
      </c>
      <c r="K309" s="115" t="s">
        <v>2752</v>
      </c>
      <c r="L309" s="115"/>
      <c r="M309" s="115"/>
      <c r="N309" s="115"/>
      <c r="O309" s="115"/>
      <c r="P309" s="115"/>
      <c r="Q309" s="115"/>
      <c r="R309" s="115" t="s">
        <v>3045</v>
      </c>
      <c r="S309" s="115"/>
      <c r="T309" s="115" t="s">
        <v>3046</v>
      </c>
      <c r="U309" s="115"/>
      <c r="V309" s="115"/>
      <c r="W309" s="115" t="s">
        <v>2774</v>
      </c>
      <c r="X309" s="115"/>
      <c r="Y309" s="115" t="s">
        <v>2936</v>
      </c>
      <c r="Z309" s="115" t="s">
        <v>2981</v>
      </c>
      <c r="AA309" s="115"/>
      <c r="AB309" s="115"/>
      <c r="AC309" s="115"/>
      <c r="AD309" s="115"/>
      <c r="AE309" s="115" t="s">
        <v>2786</v>
      </c>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1:76" x14ac:dyDescent="0.2">
      <c r="A310" s="115"/>
      <c r="B310" s="115"/>
      <c r="C310" s="115"/>
      <c r="D310" s="115"/>
      <c r="E310" s="115" t="s">
        <v>3017</v>
      </c>
      <c r="F310" s="115"/>
      <c r="G310" s="115" t="s">
        <v>2906</v>
      </c>
      <c r="H310" s="115"/>
      <c r="I310" s="115"/>
      <c r="J310" s="115"/>
      <c r="K310" s="115"/>
      <c r="L310" s="115"/>
      <c r="M310" s="115"/>
      <c r="N310" s="115"/>
      <c r="O310" s="115"/>
      <c r="P310" s="115"/>
      <c r="Q310" s="115"/>
      <c r="R310" s="115"/>
      <c r="S310" s="115"/>
      <c r="T310" s="115" t="s">
        <v>3047</v>
      </c>
      <c r="U310" s="115"/>
      <c r="V310" s="115"/>
      <c r="W310" s="115"/>
      <c r="X310" s="115"/>
      <c r="Y310" s="115" t="s">
        <v>3048</v>
      </c>
      <c r="Z310" s="115" t="s">
        <v>3050</v>
      </c>
      <c r="AA310" s="115"/>
      <c r="AB310" s="115"/>
      <c r="AC310" s="115"/>
      <c r="AD310" s="115"/>
      <c r="AE310" s="115" t="s">
        <v>2917</v>
      </c>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1:76" x14ac:dyDescent="0.2">
      <c r="A311" s="115"/>
      <c r="B311" s="115"/>
      <c r="C311" s="115"/>
      <c r="D311" s="115"/>
      <c r="E311" s="115"/>
      <c r="F311" s="115"/>
      <c r="G311" s="115"/>
      <c r="H311" s="115"/>
      <c r="I311" s="115"/>
      <c r="J311" s="590">
        <v>10580</v>
      </c>
      <c r="K311" s="590">
        <v>114540</v>
      </c>
      <c r="L311" s="115"/>
      <c r="M311" s="115" t="s">
        <v>3003</v>
      </c>
      <c r="N311" s="115" t="s">
        <v>2779</v>
      </c>
      <c r="O311" s="115" t="s">
        <v>3059</v>
      </c>
      <c r="P311" s="115" t="s">
        <v>2925</v>
      </c>
      <c r="Q311" s="115"/>
      <c r="R311" s="115"/>
      <c r="S311" s="115"/>
      <c r="T311" s="115"/>
      <c r="U311" s="115"/>
      <c r="V311" s="115"/>
      <c r="W311" s="115"/>
      <c r="X311" s="115"/>
      <c r="Y311" s="115"/>
      <c r="Z311" s="115"/>
      <c r="AA311" s="115"/>
      <c r="AB311" s="115"/>
      <c r="AC311" s="115"/>
      <c r="AD311" s="115"/>
      <c r="AE311" s="115" t="s">
        <v>2786</v>
      </c>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1:76" x14ac:dyDescent="0.2">
      <c r="A312" s="115" t="s">
        <v>3003</v>
      </c>
      <c r="B312" s="115" t="s">
        <v>2756</v>
      </c>
      <c r="C312" s="590">
        <v>12190</v>
      </c>
      <c r="D312" s="590">
        <v>11490</v>
      </c>
      <c r="E312" s="590">
        <v>16650</v>
      </c>
      <c r="F312" s="590">
        <v>11490</v>
      </c>
      <c r="G312" s="590">
        <v>11010</v>
      </c>
      <c r="H312" s="590">
        <v>18490</v>
      </c>
      <c r="I312" s="590">
        <v>18090</v>
      </c>
      <c r="J312" s="115"/>
      <c r="K312" s="115"/>
      <c r="L312" s="115"/>
      <c r="M312" s="115" t="s">
        <v>2759</v>
      </c>
      <c r="N312" s="115" t="s">
        <v>2780</v>
      </c>
      <c r="O312" s="115" t="s">
        <v>3060</v>
      </c>
      <c r="P312" s="115"/>
      <c r="Q312" s="115"/>
      <c r="R312" s="115"/>
      <c r="S312" s="115"/>
      <c r="T312" s="115"/>
      <c r="U312" s="115"/>
      <c r="V312" s="115"/>
      <c r="W312" s="115"/>
      <c r="X312" s="115"/>
      <c r="Y312" s="115"/>
      <c r="Z312" s="115"/>
      <c r="AA312" s="115"/>
      <c r="AB312" s="115"/>
      <c r="AC312" s="115"/>
      <c r="AD312" s="115"/>
      <c r="AE312" s="115" t="s">
        <v>2922</v>
      </c>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1:76" x14ac:dyDescent="0.2">
      <c r="A313" s="115"/>
      <c r="B313" s="115" t="s">
        <v>2757</v>
      </c>
      <c r="C313" s="115"/>
      <c r="D313" s="115"/>
      <c r="E313" s="115"/>
      <c r="F313" s="115"/>
      <c r="G313" s="115"/>
      <c r="H313" s="115"/>
      <c r="I313" s="115"/>
      <c r="J313" s="115"/>
      <c r="K313" s="115"/>
      <c r="L313" s="115"/>
      <c r="M313" s="115">
        <v>84</v>
      </c>
      <c r="N313" s="115"/>
      <c r="O313" s="115"/>
      <c r="P313" s="115"/>
      <c r="Q313" s="115"/>
      <c r="R313" s="115" t="s">
        <v>2929</v>
      </c>
      <c r="S313" s="115" t="s">
        <v>3061</v>
      </c>
      <c r="T313" s="115" t="s">
        <v>3062</v>
      </c>
      <c r="U313" s="115"/>
      <c r="V313" s="115" t="s">
        <v>3063</v>
      </c>
      <c r="W313" s="115"/>
      <c r="X313" s="115" t="s">
        <v>3064</v>
      </c>
      <c r="Y313" s="115" t="s">
        <v>3066</v>
      </c>
      <c r="Z313" s="115" t="s">
        <v>2832</v>
      </c>
      <c r="AA313" s="115" t="s">
        <v>2926</v>
      </c>
      <c r="AB313" s="115" t="s">
        <v>2927</v>
      </c>
      <c r="AC313" s="115" t="s">
        <v>2928</v>
      </c>
      <c r="AD313" s="115" t="s">
        <v>3068</v>
      </c>
      <c r="AE313" s="115" t="s">
        <v>3070</v>
      </c>
      <c r="AF313" s="115" t="s">
        <v>2927</v>
      </c>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1:76" x14ac:dyDescent="0.2">
      <c r="A314" s="115"/>
      <c r="B314" s="115" t="s">
        <v>2758</v>
      </c>
      <c r="C314" s="115"/>
      <c r="D314" s="115"/>
      <c r="E314" s="115"/>
      <c r="F314" s="115"/>
      <c r="G314" s="115"/>
      <c r="H314" s="115"/>
      <c r="I314" s="115"/>
      <c r="J314" s="115">
        <v>4.0999999999999996</v>
      </c>
      <c r="K314" s="115">
        <v>4.0999999999999996</v>
      </c>
      <c r="L314" s="115"/>
      <c r="M314" s="115">
        <v>88</v>
      </c>
      <c r="N314" s="115"/>
      <c r="O314" s="115"/>
      <c r="P314" s="115"/>
      <c r="Q314" s="115"/>
      <c r="R314" s="115" t="s">
        <v>2930</v>
      </c>
      <c r="S314" s="115" t="s">
        <v>2777</v>
      </c>
      <c r="T314" s="115"/>
      <c r="U314" s="115"/>
      <c r="V314" s="115" t="s">
        <v>3053</v>
      </c>
      <c r="W314" s="115"/>
      <c r="X314" s="115" t="s">
        <v>3065</v>
      </c>
      <c r="Y314" s="115" t="s">
        <v>3067</v>
      </c>
      <c r="Z314" s="115"/>
      <c r="AA314" s="115"/>
      <c r="AB314" s="115"/>
      <c r="AC314" s="115"/>
      <c r="AD314" s="115" t="s">
        <v>3069</v>
      </c>
      <c r="AE314" s="115" t="s">
        <v>3071</v>
      </c>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1:76" x14ac:dyDescent="0.2">
      <c r="A315" s="115" t="s">
        <v>3003</v>
      </c>
      <c r="B315" s="115" t="s">
        <v>3038</v>
      </c>
      <c r="C315" s="115">
        <v>3.6</v>
      </c>
      <c r="D315" s="115">
        <v>3.8</v>
      </c>
      <c r="E315" s="115">
        <v>3.8</v>
      </c>
      <c r="F315" s="115">
        <v>4</v>
      </c>
      <c r="G315" s="115">
        <v>4.0999999999999996</v>
      </c>
      <c r="H315" s="115">
        <v>4</v>
      </c>
      <c r="I315" s="115">
        <v>4.0999999999999996</v>
      </c>
      <c r="J315" s="115"/>
      <c r="K315" s="115"/>
      <c r="L315" s="115"/>
      <c r="M315" s="115">
        <v>90</v>
      </c>
      <c r="N315" s="115"/>
      <c r="O315" s="115"/>
      <c r="P315" s="115"/>
      <c r="Q315" s="115"/>
      <c r="R315" s="115"/>
      <c r="S315" s="115"/>
      <c r="T315" s="115"/>
      <c r="U315" s="115" t="s">
        <v>3076</v>
      </c>
      <c r="V315" s="115" t="s">
        <v>2779</v>
      </c>
      <c r="W315" s="115" t="s">
        <v>2779</v>
      </c>
      <c r="X315" s="115"/>
      <c r="Y315" s="115" t="s">
        <v>3078</v>
      </c>
      <c r="Z315" s="115" t="s">
        <v>2779</v>
      </c>
      <c r="AA315" s="115" t="s">
        <v>2779</v>
      </c>
      <c r="AB315" s="115"/>
      <c r="AC315" s="115"/>
      <c r="AD315" s="115"/>
      <c r="AE315" s="115" t="s">
        <v>3079</v>
      </c>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1:76" x14ac:dyDescent="0.2">
      <c r="A316" s="115"/>
      <c r="B316" s="115" t="s">
        <v>3039</v>
      </c>
      <c r="C316" s="115"/>
      <c r="D316" s="115"/>
      <c r="E316" s="115"/>
      <c r="F316" s="115"/>
      <c r="G316" s="115"/>
      <c r="H316" s="115"/>
      <c r="I316" s="115"/>
      <c r="J316" s="115">
        <v>94</v>
      </c>
      <c r="K316" s="115">
        <v>95</v>
      </c>
      <c r="L316" s="590"/>
      <c r="M316" s="115">
        <v>92</v>
      </c>
      <c r="N316" s="115"/>
      <c r="O316" s="115"/>
      <c r="P316" s="115"/>
      <c r="Q316" s="115"/>
      <c r="R316" s="115"/>
      <c r="S316" s="115"/>
      <c r="T316" s="115"/>
      <c r="U316" s="115" t="s">
        <v>3077</v>
      </c>
      <c r="V316" s="115" t="s">
        <v>2780</v>
      </c>
      <c r="W316" s="115" t="s">
        <v>2780</v>
      </c>
      <c r="X316" s="115"/>
      <c r="Y316" s="115" t="s">
        <v>2781</v>
      </c>
      <c r="Z316" s="115" t="s">
        <v>2780</v>
      </c>
      <c r="AA316" s="115" t="s">
        <v>2780</v>
      </c>
      <c r="AB316" s="115"/>
      <c r="AC316" s="115"/>
      <c r="AD316" s="115"/>
      <c r="AE316" s="115" t="s">
        <v>3080</v>
      </c>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1:76" x14ac:dyDescent="0.2">
      <c r="A317" s="115" t="s">
        <v>3003</v>
      </c>
      <c r="B317" s="115" t="s">
        <v>2759</v>
      </c>
      <c r="C317" s="115">
        <v>84</v>
      </c>
      <c r="D317" s="115">
        <v>88</v>
      </c>
      <c r="E317" s="115">
        <v>90</v>
      </c>
      <c r="F317" s="115">
        <v>92</v>
      </c>
      <c r="G317" s="115">
        <v>93</v>
      </c>
      <c r="H317" s="115">
        <v>94</v>
      </c>
      <c r="I317" s="115">
        <v>94</v>
      </c>
      <c r="J317" s="115"/>
      <c r="K317" s="115"/>
      <c r="L317" s="590"/>
      <c r="M317" s="115">
        <v>93</v>
      </c>
      <c r="N317" s="115" t="s">
        <v>2505</v>
      </c>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1:76" x14ac:dyDescent="0.2">
      <c r="A318" s="115"/>
      <c r="B318" s="115" t="s">
        <v>2505</v>
      </c>
      <c r="C318" s="115"/>
      <c r="D318" s="115"/>
      <c r="E318" s="115"/>
      <c r="F318" s="115"/>
      <c r="G318" s="115"/>
      <c r="H318" s="115"/>
      <c r="I318" s="115"/>
      <c r="J318" s="115">
        <v>6</v>
      </c>
      <c r="K318" s="115">
        <v>6</v>
      </c>
      <c r="L318" s="590"/>
      <c r="M318" s="115">
        <v>94</v>
      </c>
      <c r="N318" s="115"/>
      <c r="O318" s="115" t="s">
        <v>3003</v>
      </c>
      <c r="P318" s="115" t="s">
        <v>3003</v>
      </c>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1:76" x14ac:dyDescent="0.2">
      <c r="A319" s="115" t="s">
        <v>3003</v>
      </c>
      <c r="B319" s="115" t="s">
        <v>2760</v>
      </c>
      <c r="C319" s="115">
        <v>6</v>
      </c>
      <c r="D319" s="115">
        <v>6</v>
      </c>
      <c r="E319" s="115">
        <v>6</v>
      </c>
      <c r="F319" s="115">
        <v>6</v>
      </c>
      <c r="G319" s="115">
        <v>6</v>
      </c>
      <c r="H319" s="115">
        <v>6</v>
      </c>
      <c r="I319" s="115">
        <v>6</v>
      </c>
      <c r="J319" s="115">
        <v>5</v>
      </c>
      <c r="K319" s="115">
        <v>4</v>
      </c>
      <c r="L319" s="115"/>
      <c r="M319" s="115">
        <v>101</v>
      </c>
      <c r="N319" s="115"/>
      <c r="O319" s="115" t="s">
        <v>2760</v>
      </c>
      <c r="P319" s="115" t="s">
        <v>2705</v>
      </c>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1:76" x14ac:dyDescent="0.2">
      <c r="A320" s="115" t="s">
        <v>3003</v>
      </c>
      <c r="B320" s="115" t="s">
        <v>2705</v>
      </c>
      <c r="C320" s="115">
        <v>5</v>
      </c>
      <c r="D320" s="115">
        <v>4</v>
      </c>
      <c r="E320" s="115">
        <v>4</v>
      </c>
      <c r="F320" s="115">
        <v>5</v>
      </c>
      <c r="G320" s="115">
        <v>2</v>
      </c>
      <c r="H320" s="115">
        <v>5</v>
      </c>
      <c r="I320" s="115">
        <v>5</v>
      </c>
      <c r="J320" s="115">
        <v>55</v>
      </c>
      <c r="K320" s="115">
        <v>44</v>
      </c>
      <c r="L320" s="115"/>
      <c r="M320" s="115">
        <v>94</v>
      </c>
      <c r="N320" s="115"/>
      <c r="O320" s="115">
        <v>6</v>
      </c>
      <c r="P320" s="115">
        <v>5</v>
      </c>
      <c r="Q320" s="115" t="s">
        <v>3003</v>
      </c>
      <c r="R320" s="115"/>
      <c r="S320" s="115" t="s">
        <v>3003</v>
      </c>
      <c r="T320" s="115"/>
      <c r="U320" s="115" t="s">
        <v>3003</v>
      </c>
      <c r="V320" s="115" t="s">
        <v>3003</v>
      </c>
      <c r="W320" s="115" t="s">
        <v>3003</v>
      </c>
      <c r="X320" s="115" t="s">
        <v>3003</v>
      </c>
      <c r="Y320" s="115" t="s">
        <v>3003</v>
      </c>
      <c r="Z320" s="115"/>
      <c r="AA320" s="115"/>
      <c r="AB320" s="115"/>
      <c r="AC320" s="115"/>
      <c r="AD320" s="115"/>
      <c r="AE320" s="115" t="s">
        <v>3003</v>
      </c>
      <c r="AF320" s="115"/>
      <c r="AG320" s="115" t="s">
        <v>2712</v>
      </c>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1:76" x14ac:dyDescent="0.2">
      <c r="A321" s="115" t="s">
        <v>3003</v>
      </c>
      <c r="B321" s="115" t="s">
        <v>2496</v>
      </c>
      <c r="C321" s="115">
        <v>50</v>
      </c>
      <c r="D321" s="115">
        <v>51</v>
      </c>
      <c r="E321" s="115">
        <v>63</v>
      </c>
      <c r="F321" s="115">
        <v>52</v>
      </c>
      <c r="G321" s="115">
        <v>52</v>
      </c>
      <c r="H321" s="115">
        <v>66</v>
      </c>
      <c r="I321" s="115">
        <v>70</v>
      </c>
      <c r="J321" s="115"/>
      <c r="K321" s="115"/>
      <c r="L321" s="115"/>
      <c r="M321" s="115">
        <v>95</v>
      </c>
      <c r="N321" s="115"/>
      <c r="O321" s="115">
        <v>6</v>
      </c>
      <c r="P321" s="115">
        <v>4</v>
      </c>
      <c r="Q321" s="115" t="s">
        <v>2496</v>
      </c>
      <c r="R321" s="115" t="s">
        <v>2501</v>
      </c>
      <c r="S321" s="115" t="s">
        <v>2496</v>
      </c>
      <c r="T321" s="115" t="s">
        <v>2557</v>
      </c>
      <c r="U321" s="115" t="s">
        <v>2761</v>
      </c>
      <c r="V321" s="115" t="s">
        <v>2711</v>
      </c>
      <c r="W321" s="115" t="s">
        <v>2763</v>
      </c>
      <c r="X321" s="115" t="s">
        <v>2764</v>
      </c>
      <c r="Y321" s="115" t="s">
        <v>2765</v>
      </c>
      <c r="Z321" s="115" t="s">
        <v>2766</v>
      </c>
      <c r="AA321" s="115" t="s">
        <v>2767</v>
      </c>
      <c r="AB321" s="115"/>
      <c r="AC321" s="115"/>
      <c r="AD321" s="115"/>
      <c r="AE321" s="115" t="s">
        <v>2775</v>
      </c>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1:76" x14ac:dyDescent="0.2">
      <c r="A322" s="115"/>
      <c r="B322" s="115" t="s">
        <v>2501</v>
      </c>
      <c r="C322" s="115"/>
      <c r="D322" s="115"/>
      <c r="E322" s="115"/>
      <c r="F322" s="115"/>
      <c r="G322" s="115"/>
      <c r="H322" s="115"/>
      <c r="I322" s="115"/>
      <c r="J322" s="115">
        <v>75</v>
      </c>
      <c r="K322" s="115">
        <v>60</v>
      </c>
      <c r="L322" s="115"/>
      <c r="M322" s="115">
        <v>95</v>
      </c>
      <c r="N322" s="115"/>
      <c r="O322" s="115">
        <v>6</v>
      </c>
      <c r="P322" s="115">
        <v>4</v>
      </c>
      <c r="Q322" s="115">
        <v>50</v>
      </c>
      <c r="R322" s="115"/>
      <c r="S322" s="115">
        <v>68</v>
      </c>
      <c r="T322" s="115"/>
      <c r="U322" s="115" t="s">
        <v>2762</v>
      </c>
      <c r="V322" s="590">
        <v>3600</v>
      </c>
      <c r="W322" s="590">
        <v>1950</v>
      </c>
      <c r="X322" s="590">
        <v>1530</v>
      </c>
      <c r="Y322" s="115"/>
      <c r="Z322" s="115"/>
      <c r="AA322" s="115"/>
      <c r="AB322" s="115"/>
      <c r="AC322" s="115"/>
      <c r="AD322" s="115"/>
      <c r="AE322" s="115" t="s">
        <v>3052</v>
      </c>
      <c r="AF322" s="115" t="s">
        <v>3053</v>
      </c>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1:76" x14ac:dyDescent="0.2">
      <c r="A323" s="115" t="s">
        <v>3003</v>
      </c>
      <c r="B323" s="115" t="s">
        <v>2496</v>
      </c>
      <c r="C323" s="115">
        <v>68</v>
      </c>
      <c r="D323" s="115">
        <v>69</v>
      </c>
      <c r="E323" s="115">
        <v>85.68</v>
      </c>
      <c r="F323" s="115">
        <v>71</v>
      </c>
      <c r="G323" s="115">
        <v>71</v>
      </c>
      <c r="H323" s="115">
        <v>90</v>
      </c>
      <c r="I323" s="115">
        <v>95</v>
      </c>
      <c r="J323" s="115"/>
      <c r="K323" s="115"/>
      <c r="L323" s="115"/>
      <c r="M323" s="115">
        <v>95</v>
      </c>
      <c r="N323" s="115"/>
      <c r="O323" s="115">
        <v>6</v>
      </c>
      <c r="P323" s="115">
        <v>5</v>
      </c>
      <c r="Q323" s="115">
        <v>51</v>
      </c>
      <c r="R323" s="115"/>
      <c r="S323" s="115">
        <v>69</v>
      </c>
      <c r="T323" s="115"/>
      <c r="U323" s="115" t="s">
        <v>2762</v>
      </c>
      <c r="V323" s="590">
        <v>3470</v>
      </c>
      <c r="W323" s="590">
        <v>2004</v>
      </c>
      <c r="X323" s="590">
        <v>1450</v>
      </c>
      <c r="Y323" s="115"/>
      <c r="Z323" s="115"/>
      <c r="AA323" s="115"/>
      <c r="AB323" s="115"/>
      <c r="AC323" s="115"/>
      <c r="AD323" s="115"/>
      <c r="AE323" s="115" t="s">
        <v>2832</v>
      </c>
      <c r="AF323" s="115"/>
      <c r="AG323" s="115" t="s">
        <v>2779</v>
      </c>
      <c r="AH323" s="115" t="s">
        <v>2780</v>
      </c>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1:76" x14ac:dyDescent="0.2">
      <c r="A324" s="115"/>
      <c r="B324" s="115" t="s">
        <v>2557</v>
      </c>
      <c r="C324" s="115"/>
      <c r="D324" s="115"/>
      <c r="E324" s="115"/>
      <c r="F324" s="115"/>
      <c r="G324" s="115"/>
      <c r="H324" s="115"/>
      <c r="I324" s="115"/>
      <c r="J324" s="115" t="s">
        <v>2762</v>
      </c>
      <c r="K324" s="115" t="s">
        <v>2762</v>
      </c>
      <c r="L324" s="115"/>
      <c r="M324" s="115">
        <v>95</v>
      </c>
      <c r="N324" s="115"/>
      <c r="O324" s="115">
        <v>6</v>
      </c>
      <c r="P324" s="115">
        <v>2</v>
      </c>
      <c r="Q324" s="115">
        <v>63</v>
      </c>
      <c r="R324" s="115"/>
      <c r="S324" s="115">
        <v>85.68</v>
      </c>
      <c r="T324" s="115"/>
      <c r="U324" s="115" t="s">
        <v>2762</v>
      </c>
      <c r="V324" s="590">
        <v>3546</v>
      </c>
      <c r="W324" s="590">
        <v>1882</v>
      </c>
      <c r="X324" s="590">
        <v>1488</v>
      </c>
      <c r="Y324" s="115" t="s">
        <v>3043</v>
      </c>
      <c r="Z324" s="115" t="s">
        <v>2979</v>
      </c>
      <c r="AA324" s="115" t="s">
        <v>3044</v>
      </c>
      <c r="AB324" s="115"/>
      <c r="AC324" s="115"/>
      <c r="AD324" s="115"/>
      <c r="AE324" s="115" t="s">
        <v>3054</v>
      </c>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1:76" x14ac:dyDescent="0.2">
      <c r="A325" s="115" t="s">
        <v>3003</v>
      </c>
      <c r="B325" s="115" t="s">
        <v>2761</v>
      </c>
      <c r="C325" s="115" t="s">
        <v>2762</v>
      </c>
      <c r="D325" s="115" t="s">
        <v>2762</v>
      </c>
      <c r="E325" s="115" t="s">
        <v>2762</v>
      </c>
      <c r="F325" s="115" t="s">
        <v>2762</v>
      </c>
      <c r="G325" s="115" t="s">
        <v>2762</v>
      </c>
      <c r="H325" s="115" t="s">
        <v>2762</v>
      </c>
      <c r="I325" s="115" t="s">
        <v>2785</v>
      </c>
      <c r="J325" s="590">
        <v>3675</v>
      </c>
      <c r="K325" s="590">
        <v>3540</v>
      </c>
      <c r="L325" s="115"/>
      <c r="M325" s="115">
        <v>95</v>
      </c>
      <c r="N325" s="115"/>
      <c r="O325" s="115">
        <v>6</v>
      </c>
      <c r="P325" s="115">
        <v>5</v>
      </c>
      <c r="Q325" s="115">
        <v>52</v>
      </c>
      <c r="R325" s="115"/>
      <c r="S325" s="115">
        <v>71</v>
      </c>
      <c r="T325" s="115"/>
      <c r="U325" s="115" t="s">
        <v>2762</v>
      </c>
      <c r="V325" s="590">
        <v>3710</v>
      </c>
      <c r="W325" s="115" t="s">
        <v>2637</v>
      </c>
      <c r="X325" s="590">
        <v>1505</v>
      </c>
      <c r="Y325" s="115" t="s">
        <v>2914</v>
      </c>
      <c r="Z325" s="115" t="s">
        <v>2768</v>
      </c>
      <c r="AA325" s="115"/>
      <c r="AB325" s="115"/>
      <c r="AC325" s="115"/>
      <c r="AD325" s="115"/>
      <c r="AE325" s="115" t="s">
        <v>3055</v>
      </c>
      <c r="AF325" s="115" t="s">
        <v>2776</v>
      </c>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1:76" x14ac:dyDescent="0.2">
      <c r="A326" s="115" t="s">
        <v>3003</v>
      </c>
      <c r="B326" s="115" t="s">
        <v>2711</v>
      </c>
      <c r="C326" s="590">
        <v>3600</v>
      </c>
      <c r="D326" s="590">
        <v>3470</v>
      </c>
      <c r="E326" s="590">
        <v>3546</v>
      </c>
      <c r="F326" s="590">
        <v>3710</v>
      </c>
      <c r="G326" s="590">
        <v>2695</v>
      </c>
      <c r="H326" s="590">
        <v>3995</v>
      </c>
      <c r="I326" s="590">
        <v>3972</v>
      </c>
      <c r="J326" s="590">
        <v>1876</v>
      </c>
      <c r="K326" s="590">
        <v>1910</v>
      </c>
      <c r="L326" s="115"/>
      <c r="M326" s="115">
        <v>97</v>
      </c>
      <c r="N326" s="115"/>
      <c r="O326" s="115">
        <v>6</v>
      </c>
      <c r="P326" s="115">
        <v>5</v>
      </c>
      <c r="Q326" s="115">
        <v>52</v>
      </c>
      <c r="R326" s="115"/>
      <c r="S326" s="115">
        <v>71</v>
      </c>
      <c r="T326" s="115"/>
      <c r="U326" s="115" t="s">
        <v>2762</v>
      </c>
      <c r="V326" s="590">
        <v>2695</v>
      </c>
      <c r="W326" s="590">
        <v>1752</v>
      </c>
      <c r="X326" s="590">
        <v>1555</v>
      </c>
      <c r="Y326" s="115"/>
      <c r="Z326" s="115"/>
      <c r="AA326" s="115"/>
      <c r="AB326" s="115"/>
      <c r="AC326" s="115"/>
      <c r="AD326" s="115"/>
      <c r="AE326" s="115"/>
      <c r="AF326" s="115"/>
      <c r="AG326" s="115" t="s">
        <v>3072</v>
      </c>
      <c r="AH326" s="115" t="s">
        <v>3073</v>
      </c>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1:76" x14ac:dyDescent="0.2">
      <c r="A327" s="115" t="s">
        <v>3003</v>
      </c>
      <c r="B327" s="115" t="s">
        <v>2763</v>
      </c>
      <c r="C327" s="590">
        <v>1950</v>
      </c>
      <c r="D327" s="590">
        <v>2004</v>
      </c>
      <c r="E327" s="590">
        <v>1882</v>
      </c>
      <c r="F327" s="115" t="s">
        <v>2637</v>
      </c>
      <c r="G327" s="590">
        <v>1752</v>
      </c>
      <c r="H327" s="115" t="s">
        <v>2637</v>
      </c>
      <c r="I327" s="590">
        <v>1901</v>
      </c>
      <c r="J327" s="590">
        <v>1476</v>
      </c>
      <c r="K327" s="590">
        <v>1489</v>
      </c>
      <c r="L327" s="115"/>
      <c r="M327" s="115">
        <v>97</v>
      </c>
      <c r="N327" s="115"/>
      <c r="O327" s="115">
        <v>6</v>
      </c>
      <c r="P327" s="115">
        <v>5</v>
      </c>
      <c r="Q327" s="115">
        <v>66</v>
      </c>
      <c r="R327" s="115"/>
      <c r="S327" s="115">
        <v>90</v>
      </c>
      <c r="T327" s="115"/>
      <c r="U327" s="115" t="s">
        <v>2762</v>
      </c>
      <c r="V327" s="590">
        <v>3995</v>
      </c>
      <c r="W327" s="115" t="s">
        <v>2637</v>
      </c>
      <c r="X327" s="590">
        <v>1470</v>
      </c>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1:76" x14ac:dyDescent="0.2">
      <c r="A328" s="115" t="s">
        <v>3003</v>
      </c>
      <c r="B328" s="115" t="s">
        <v>2764</v>
      </c>
      <c r="C328" s="590">
        <v>1530</v>
      </c>
      <c r="D328" s="590">
        <v>1450</v>
      </c>
      <c r="E328" s="590">
        <v>1488</v>
      </c>
      <c r="F328" s="590">
        <v>1505</v>
      </c>
      <c r="G328" s="590">
        <v>1555</v>
      </c>
      <c r="H328" s="590">
        <v>1470</v>
      </c>
      <c r="I328" s="590">
        <v>1453</v>
      </c>
      <c r="J328" s="115"/>
      <c r="K328" s="115" t="s">
        <v>2908</v>
      </c>
      <c r="L328" s="115"/>
      <c r="M328" s="115">
        <v>99</v>
      </c>
      <c r="N328" s="115"/>
      <c r="O328" s="115">
        <v>6</v>
      </c>
      <c r="P328" s="115">
        <v>4</v>
      </c>
      <c r="Q328" s="115">
        <v>70</v>
      </c>
      <c r="R328" s="115"/>
      <c r="S328" s="115">
        <v>95</v>
      </c>
      <c r="T328" s="115"/>
      <c r="U328" s="115" t="s">
        <v>2785</v>
      </c>
      <c r="V328" s="590">
        <v>3972</v>
      </c>
      <c r="W328" s="590">
        <v>1901</v>
      </c>
      <c r="X328" s="590">
        <v>1453</v>
      </c>
      <c r="Y328" s="115" t="s">
        <v>2915</v>
      </c>
      <c r="Z328" s="115" t="s">
        <v>2916</v>
      </c>
      <c r="AA328" s="115" t="s">
        <v>2786</v>
      </c>
      <c r="AB328" s="115" t="s">
        <v>2917</v>
      </c>
      <c r="AC328" s="115"/>
      <c r="AD328" s="115"/>
      <c r="AE328" s="115" t="s">
        <v>3056</v>
      </c>
      <c r="AF328" s="115" t="s">
        <v>3057</v>
      </c>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1:76" x14ac:dyDescent="0.2">
      <c r="A329" s="115" t="s">
        <v>3003</v>
      </c>
      <c r="B329" s="115" t="s">
        <v>2765</v>
      </c>
      <c r="C329" s="115"/>
      <c r="D329" s="115"/>
      <c r="E329" s="115" t="s">
        <v>3043</v>
      </c>
      <c r="F329" s="115" t="s">
        <v>2914</v>
      </c>
      <c r="G329" s="115"/>
      <c r="H329" s="115"/>
      <c r="I329" s="115" t="s">
        <v>2915</v>
      </c>
      <c r="J329" s="115"/>
      <c r="K329" s="115" t="s">
        <v>2773</v>
      </c>
      <c r="L329" s="115"/>
      <c r="M329" s="115">
        <v>99</v>
      </c>
      <c r="N329" s="115"/>
      <c r="O329" s="115">
        <v>6</v>
      </c>
      <c r="P329" s="115">
        <v>5</v>
      </c>
      <c r="Q329" s="115">
        <v>55</v>
      </c>
      <c r="R329" s="115"/>
      <c r="S329" s="115">
        <v>75</v>
      </c>
      <c r="T329" s="115"/>
      <c r="U329" s="115" t="s">
        <v>2762</v>
      </c>
      <c r="V329" s="590">
        <v>3675</v>
      </c>
      <c r="W329" s="590">
        <v>1876</v>
      </c>
      <c r="X329" s="590">
        <v>1476</v>
      </c>
      <c r="Y329" s="115"/>
      <c r="Z329" s="115"/>
      <c r="AA329" s="115"/>
      <c r="AB329" s="115"/>
      <c r="AC329" s="115"/>
      <c r="AD329" s="115"/>
      <c r="AE329" s="115" t="s">
        <v>2953</v>
      </c>
      <c r="AF329" s="115" t="s">
        <v>2795</v>
      </c>
      <c r="AG329" s="115" t="s">
        <v>2779</v>
      </c>
      <c r="AH329" s="115" t="s">
        <v>2780</v>
      </c>
      <c r="AI329" s="115" t="s">
        <v>3074</v>
      </c>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1:76" x14ac:dyDescent="0.2">
      <c r="A330" s="115"/>
      <c r="B330" s="115" t="s">
        <v>2766</v>
      </c>
      <c r="C330" s="115"/>
      <c r="D330" s="115"/>
      <c r="E330" s="115" t="s">
        <v>2979</v>
      </c>
      <c r="F330" s="115" t="s">
        <v>2768</v>
      </c>
      <c r="G330" s="115"/>
      <c r="H330" s="115"/>
      <c r="I330" s="115" t="s">
        <v>2916</v>
      </c>
      <c r="J330" s="115"/>
      <c r="K330" s="115"/>
      <c r="L330" s="115"/>
      <c r="M330" s="115">
        <v>99</v>
      </c>
      <c r="N330" s="115"/>
      <c r="O330" s="115">
        <v>6</v>
      </c>
      <c r="P330" s="115">
        <v>4</v>
      </c>
      <c r="Q330" s="115">
        <v>44</v>
      </c>
      <c r="R330" s="115"/>
      <c r="S330" s="115">
        <v>60</v>
      </c>
      <c r="T330" s="115"/>
      <c r="U330" s="115" t="s">
        <v>2762</v>
      </c>
      <c r="V330" s="590">
        <v>3540</v>
      </c>
      <c r="W330" s="590">
        <v>1910</v>
      </c>
      <c r="X330" s="590">
        <v>1489</v>
      </c>
      <c r="Y330" s="115" t="s">
        <v>2908</v>
      </c>
      <c r="Z330" s="115" t="s">
        <v>2773</v>
      </c>
      <c r="AA330" s="115"/>
      <c r="AB330" s="115"/>
      <c r="AC330" s="115"/>
      <c r="AD330" s="115"/>
      <c r="AE330" s="115" t="s">
        <v>2923</v>
      </c>
      <c r="AF330" s="115" t="s">
        <v>2924</v>
      </c>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1:76" x14ac:dyDescent="0.2">
      <c r="A331" s="115"/>
      <c r="B331" s="115" t="s">
        <v>2767</v>
      </c>
      <c r="C331" s="115"/>
      <c r="D331" s="115"/>
      <c r="E331" s="115" t="s">
        <v>3044</v>
      </c>
      <c r="F331" s="115"/>
      <c r="G331" s="115"/>
      <c r="H331" s="115"/>
      <c r="I331" s="115" t="s">
        <v>2786</v>
      </c>
      <c r="J331" s="115"/>
      <c r="K331" s="115"/>
      <c r="L331" s="115"/>
      <c r="M331" s="115">
        <v>99</v>
      </c>
      <c r="N331" s="115"/>
      <c r="O331" s="115">
        <v>6</v>
      </c>
      <c r="P331" s="115">
        <v>4</v>
      </c>
      <c r="Q331" s="115">
        <v>51</v>
      </c>
      <c r="R331" s="115"/>
      <c r="S331" s="115">
        <v>69</v>
      </c>
      <c r="T331" s="115"/>
      <c r="U331" s="115" t="s">
        <v>2762</v>
      </c>
      <c r="V331" s="590">
        <v>3466</v>
      </c>
      <c r="W331" s="590">
        <v>1884</v>
      </c>
      <c r="X331" s="590">
        <v>1460</v>
      </c>
      <c r="Y331" s="115"/>
      <c r="Z331" s="115"/>
      <c r="AA331" s="115"/>
      <c r="AB331" s="115"/>
      <c r="AC331" s="115"/>
      <c r="AD331" s="115"/>
      <c r="AE331" s="115" t="s">
        <v>3058</v>
      </c>
      <c r="AF331" s="115"/>
      <c r="AG331" s="115" t="s">
        <v>3075</v>
      </c>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1:76" x14ac:dyDescent="0.2">
      <c r="A332" s="115"/>
      <c r="B332" s="115"/>
      <c r="C332" s="115"/>
      <c r="D332" s="115"/>
      <c r="E332" s="115"/>
      <c r="F332" s="115"/>
      <c r="G332" s="115"/>
      <c r="H332" s="115"/>
      <c r="I332" s="115" t="s">
        <v>2917</v>
      </c>
      <c r="J332" s="115"/>
      <c r="K332" s="115"/>
      <c r="L332" s="115"/>
      <c r="M332" s="115">
        <v>99</v>
      </c>
      <c r="N332" s="115"/>
      <c r="O332" s="115">
        <v>6</v>
      </c>
      <c r="P332" s="115">
        <v>4</v>
      </c>
      <c r="Q332" s="115">
        <v>51</v>
      </c>
      <c r="R332" s="115"/>
      <c r="S332" s="115">
        <v>69</v>
      </c>
      <c r="T332" s="115"/>
      <c r="U332" s="115" t="s">
        <v>2762</v>
      </c>
      <c r="V332" s="590">
        <v>3455</v>
      </c>
      <c r="W332" s="590">
        <v>1968</v>
      </c>
      <c r="X332" s="590">
        <v>1460</v>
      </c>
      <c r="Y332" s="115"/>
      <c r="Z332" s="115"/>
      <c r="AA332" s="115"/>
      <c r="AB332" s="115"/>
      <c r="AC332" s="115"/>
      <c r="AD332" s="115"/>
      <c r="AE332" s="115"/>
      <c r="AF332" s="115"/>
      <c r="AG332" s="115" t="s">
        <v>2779</v>
      </c>
      <c r="AH332" s="115" t="s">
        <v>2780</v>
      </c>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1:76" x14ac:dyDescent="0.2">
      <c r="A333" s="115"/>
      <c r="B333" s="115"/>
      <c r="C333" s="115"/>
      <c r="D333" s="115"/>
      <c r="E333" s="115"/>
      <c r="F333" s="115"/>
      <c r="G333" s="115"/>
      <c r="H333" s="115"/>
      <c r="I333" s="115"/>
      <c r="J333" s="115"/>
      <c r="K333" s="115"/>
      <c r="L333" s="115"/>
      <c r="M333" s="115">
        <v>99</v>
      </c>
      <c r="N333" s="115"/>
      <c r="O333" s="115">
        <v>6</v>
      </c>
      <c r="P333" s="115">
        <v>4</v>
      </c>
      <c r="Q333" s="115">
        <v>44</v>
      </c>
      <c r="R333" s="115"/>
      <c r="S333" s="115">
        <v>60</v>
      </c>
      <c r="T333" s="115"/>
      <c r="U333" s="115" t="s">
        <v>2762</v>
      </c>
      <c r="V333" s="590">
        <v>3563</v>
      </c>
      <c r="W333" s="590">
        <v>1910</v>
      </c>
      <c r="X333" s="590">
        <v>1463</v>
      </c>
      <c r="Y333" s="115" t="s">
        <v>2772</v>
      </c>
      <c r="Z333" s="115"/>
      <c r="AA333" s="115"/>
      <c r="AB333" s="115"/>
      <c r="AC333" s="115"/>
      <c r="AD333" s="115"/>
      <c r="AE333" s="115" t="s">
        <v>3059</v>
      </c>
      <c r="AF333" s="115" t="s">
        <v>3060</v>
      </c>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1:76" x14ac:dyDescent="0.2">
      <c r="A334" s="115"/>
      <c r="B334" s="115"/>
      <c r="C334" s="115"/>
      <c r="D334" s="115"/>
      <c r="E334" s="115"/>
      <c r="F334" s="115"/>
      <c r="G334" s="115"/>
      <c r="H334" s="115"/>
      <c r="I334" s="115"/>
      <c r="J334" s="115" t="s">
        <v>2953</v>
      </c>
      <c r="K334" s="115" t="s">
        <v>2923</v>
      </c>
      <c r="L334" s="115"/>
      <c r="M334" s="115">
        <v>102</v>
      </c>
      <c r="N334" s="115"/>
      <c r="O334" s="115">
        <v>6</v>
      </c>
      <c r="P334" s="115">
        <v>5</v>
      </c>
      <c r="Q334" s="115">
        <v>52</v>
      </c>
      <c r="R334" s="115"/>
      <c r="S334" s="115">
        <v>71</v>
      </c>
      <c r="T334" s="115"/>
      <c r="U334" s="115" t="s">
        <v>2762</v>
      </c>
      <c r="V334" s="590">
        <v>3595</v>
      </c>
      <c r="W334" s="115" t="s">
        <v>2637</v>
      </c>
      <c r="X334" s="590">
        <v>1554</v>
      </c>
      <c r="Y334" s="115"/>
      <c r="Z334" s="115"/>
      <c r="AA334" s="115"/>
      <c r="AB334" s="115"/>
      <c r="AC334" s="115"/>
      <c r="AD334" s="115"/>
      <c r="AE334" s="115" t="s">
        <v>2925</v>
      </c>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1:76" x14ac:dyDescent="0.2">
      <c r="A335" s="115" t="s">
        <v>3003</v>
      </c>
      <c r="B335" s="115" t="s">
        <v>2775</v>
      </c>
      <c r="C335" s="115" t="s">
        <v>3052</v>
      </c>
      <c r="D335" s="115" t="s">
        <v>2832</v>
      </c>
      <c r="E335" s="115" t="s">
        <v>3054</v>
      </c>
      <c r="F335" s="115" t="s">
        <v>3055</v>
      </c>
      <c r="G335" s="115"/>
      <c r="H335" s="115"/>
      <c r="I335" s="115" t="s">
        <v>3056</v>
      </c>
      <c r="J335" s="115" t="s">
        <v>2795</v>
      </c>
      <c r="K335" s="115" t="s">
        <v>2924</v>
      </c>
      <c r="L335" s="115"/>
      <c r="M335" s="115">
        <v>102</v>
      </c>
      <c r="N335" s="115"/>
      <c r="O335" s="115">
        <v>6</v>
      </c>
      <c r="P335" s="115">
        <v>4</v>
      </c>
      <c r="Q335" s="115">
        <v>52</v>
      </c>
      <c r="R335" s="115"/>
      <c r="S335" s="115">
        <v>71</v>
      </c>
      <c r="T335" s="115"/>
      <c r="U335" s="115" t="s">
        <v>2762</v>
      </c>
      <c r="V335" s="590">
        <v>3495</v>
      </c>
      <c r="W335" s="590">
        <v>1752</v>
      </c>
      <c r="X335" s="590">
        <v>1554</v>
      </c>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1:76" x14ac:dyDescent="0.2">
      <c r="A336" s="115"/>
      <c r="B336" s="115"/>
      <c r="C336" s="115" t="s">
        <v>3053</v>
      </c>
      <c r="D336" s="115"/>
      <c r="E336" s="115"/>
      <c r="F336" s="115" t="s">
        <v>2776</v>
      </c>
      <c r="G336" s="115"/>
      <c r="H336" s="115"/>
      <c r="I336" s="115" t="s">
        <v>3057</v>
      </c>
      <c r="J336" s="115" t="s">
        <v>2779</v>
      </c>
      <c r="K336" s="115"/>
      <c r="L336" s="115"/>
      <c r="M336" s="115">
        <v>102</v>
      </c>
      <c r="N336" s="115"/>
      <c r="O336" s="115">
        <v>6</v>
      </c>
      <c r="P336" s="115">
        <v>4</v>
      </c>
      <c r="Q336" s="115">
        <v>60</v>
      </c>
      <c r="R336" s="115"/>
      <c r="S336" s="115">
        <v>82</v>
      </c>
      <c r="T336" s="115"/>
      <c r="U336" s="115" t="s">
        <v>2762</v>
      </c>
      <c r="V336" s="590">
        <v>3973</v>
      </c>
      <c r="W336" s="590">
        <v>1906</v>
      </c>
      <c r="X336" s="590">
        <v>1416</v>
      </c>
      <c r="Y336" s="115" t="s">
        <v>3026</v>
      </c>
      <c r="Z336" s="115" t="s">
        <v>2980</v>
      </c>
      <c r="AA336" s="115" t="s">
        <v>3045</v>
      </c>
      <c r="AB336" s="115"/>
      <c r="AC336" s="115"/>
      <c r="AD336" s="115"/>
      <c r="AE336" s="115" t="s">
        <v>2929</v>
      </c>
      <c r="AF336" s="115" t="s">
        <v>2930</v>
      </c>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1:76" x14ac:dyDescent="0.2">
      <c r="A337" s="115" t="s">
        <v>2712</v>
      </c>
      <c r="B337" s="115"/>
      <c r="C337" s="115"/>
      <c r="D337" s="115" t="s">
        <v>2779</v>
      </c>
      <c r="E337" s="115"/>
      <c r="F337" s="115"/>
      <c r="G337" s="115" t="s">
        <v>3072</v>
      </c>
      <c r="H337" s="115"/>
      <c r="I337" s="115"/>
      <c r="J337" s="115" t="s">
        <v>2780</v>
      </c>
      <c r="K337" s="115"/>
      <c r="L337" s="115"/>
      <c r="M337" s="115">
        <v>105</v>
      </c>
      <c r="N337" s="115"/>
      <c r="O337" s="115">
        <v>6</v>
      </c>
      <c r="P337" s="115">
        <v>5</v>
      </c>
      <c r="Q337" s="115">
        <v>63</v>
      </c>
      <c r="R337" s="115"/>
      <c r="S337" s="115">
        <v>86</v>
      </c>
      <c r="T337" s="115"/>
      <c r="U337" s="115" t="s">
        <v>2822</v>
      </c>
      <c r="V337" s="590">
        <v>3653</v>
      </c>
      <c r="W337" s="590">
        <v>1882</v>
      </c>
      <c r="X337" s="590">
        <v>1551</v>
      </c>
      <c r="Y337" s="115"/>
      <c r="Z337" s="115"/>
      <c r="AA337" s="115"/>
      <c r="AB337" s="115"/>
      <c r="AC337" s="115"/>
      <c r="AD337" s="115"/>
      <c r="AE337" s="115" t="s">
        <v>3061</v>
      </c>
      <c r="AF337" s="115" t="s">
        <v>2777</v>
      </c>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1:76" x14ac:dyDescent="0.2">
      <c r="A338" s="115"/>
      <c r="B338" s="115"/>
      <c r="C338" s="115"/>
      <c r="D338" s="115" t="s">
        <v>2780</v>
      </c>
      <c r="E338" s="115"/>
      <c r="F338" s="115"/>
      <c r="G338" s="115" t="s">
        <v>3073</v>
      </c>
      <c r="H338" s="115"/>
      <c r="I338" s="115"/>
      <c r="J338" s="115" t="s">
        <v>3074</v>
      </c>
      <c r="K338" s="115"/>
      <c r="L338" s="115"/>
      <c r="M338" s="115">
        <v>106</v>
      </c>
      <c r="N338" s="115"/>
      <c r="O338" s="115">
        <v>6</v>
      </c>
      <c r="P338" s="115">
        <v>5</v>
      </c>
      <c r="Q338" s="115">
        <v>66</v>
      </c>
      <c r="R338" s="115"/>
      <c r="S338" s="115">
        <v>90</v>
      </c>
      <c r="T338" s="115"/>
      <c r="U338" s="115" t="s">
        <v>2785</v>
      </c>
      <c r="V338" s="590">
        <v>3698</v>
      </c>
      <c r="W338" s="590">
        <v>1966</v>
      </c>
      <c r="X338" s="590">
        <v>1484</v>
      </c>
      <c r="Y338" s="115" t="s">
        <v>3027</v>
      </c>
      <c r="Z338" s="115" t="s">
        <v>3028</v>
      </c>
      <c r="AA338" s="115" t="s">
        <v>3046</v>
      </c>
      <c r="AB338" s="115" t="s">
        <v>3047</v>
      </c>
      <c r="AC338" s="115"/>
      <c r="AD338" s="115"/>
      <c r="AE338" s="115" t="s">
        <v>3062</v>
      </c>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1:76" x14ac:dyDescent="0.2">
      <c r="A339" s="115"/>
      <c r="B339" s="115"/>
      <c r="C339" s="115"/>
      <c r="D339" s="115"/>
      <c r="E339" s="115"/>
      <c r="F339" s="115"/>
      <c r="G339" s="115"/>
      <c r="H339" s="115"/>
      <c r="I339" s="115"/>
      <c r="J339" s="115"/>
      <c r="K339" s="115"/>
      <c r="L339" s="115"/>
      <c r="M339" s="115">
        <v>106</v>
      </c>
      <c r="N339" s="115"/>
      <c r="O339" s="115">
        <v>6</v>
      </c>
      <c r="P339" s="115">
        <v>5</v>
      </c>
      <c r="Q339" s="115">
        <v>63</v>
      </c>
      <c r="R339" s="115"/>
      <c r="S339" s="115">
        <v>86</v>
      </c>
      <c r="T339" s="115"/>
      <c r="U339" s="115" t="s">
        <v>2762</v>
      </c>
      <c r="V339" s="590">
        <v>3842</v>
      </c>
      <c r="W339" s="115" t="s">
        <v>3042</v>
      </c>
      <c r="X339" s="590">
        <v>1518</v>
      </c>
      <c r="Y339" s="115"/>
      <c r="Z339" s="115"/>
      <c r="AA339" s="115"/>
      <c r="AB339" s="115"/>
      <c r="AC339" s="115"/>
      <c r="AD339" s="115"/>
      <c r="AE339" s="115"/>
      <c r="AF339" s="115"/>
      <c r="AG339" s="115" t="s">
        <v>3076</v>
      </c>
      <c r="AH339" s="115" t="s">
        <v>3077</v>
      </c>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1:76" x14ac:dyDescent="0.2">
      <c r="A340" s="115"/>
      <c r="B340" s="115"/>
      <c r="C340" s="115"/>
      <c r="D340" s="115"/>
      <c r="E340" s="115"/>
      <c r="F340" s="115"/>
      <c r="G340" s="115"/>
      <c r="H340" s="115"/>
      <c r="I340" s="115"/>
      <c r="J340" s="115"/>
      <c r="K340" s="115"/>
      <c r="L340" s="115"/>
      <c r="M340" s="115">
        <v>106</v>
      </c>
      <c r="N340" s="115"/>
      <c r="O340" s="115">
        <v>6</v>
      </c>
      <c r="P340" s="115">
        <v>5</v>
      </c>
      <c r="Q340" s="115">
        <v>66</v>
      </c>
      <c r="R340" s="115"/>
      <c r="S340" s="115">
        <v>90</v>
      </c>
      <c r="T340" s="115"/>
      <c r="U340" s="115" t="s">
        <v>2762</v>
      </c>
      <c r="V340" s="590">
        <v>3850</v>
      </c>
      <c r="W340" s="590">
        <v>1950</v>
      </c>
      <c r="X340" s="590">
        <v>1535</v>
      </c>
      <c r="Y340" s="115"/>
      <c r="Z340" s="115"/>
      <c r="AA340" s="115"/>
      <c r="AB340" s="115"/>
      <c r="AC340" s="115"/>
      <c r="AD340" s="115"/>
      <c r="AE340" s="115" t="s">
        <v>3063</v>
      </c>
      <c r="AF340" s="115" t="s">
        <v>3053</v>
      </c>
      <c r="AG340" s="115" t="s">
        <v>2779</v>
      </c>
      <c r="AH340" s="115" t="s">
        <v>2780</v>
      </c>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1:76" x14ac:dyDescent="0.2">
      <c r="A341" s="115"/>
      <c r="B341" s="115"/>
      <c r="C341" s="115"/>
      <c r="D341" s="115"/>
      <c r="E341" s="115"/>
      <c r="F341" s="115"/>
      <c r="G341" s="115"/>
      <c r="H341" s="115"/>
      <c r="I341" s="115"/>
      <c r="J341" s="115" t="s">
        <v>3003</v>
      </c>
      <c r="K341" s="115"/>
      <c r="L341" s="115"/>
      <c r="M341" s="115">
        <v>109</v>
      </c>
      <c r="N341" s="115"/>
      <c r="O341" s="115">
        <v>6</v>
      </c>
      <c r="P341" s="115">
        <v>5</v>
      </c>
      <c r="Q341" s="115">
        <v>48</v>
      </c>
      <c r="R341" s="115"/>
      <c r="S341" s="115">
        <v>65</v>
      </c>
      <c r="T341" s="115"/>
      <c r="U341" s="115" t="s">
        <v>2762</v>
      </c>
      <c r="V341" s="590">
        <v>3969</v>
      </c>
      <c r="W341" s="590">
        <v>1978</v>
      </c>
      <c r="X341" s="590">
        <v>1495</v>
      </c>
      <c r="Y341" s="115" t="s">
        <v>2918</v>
      </c>
      <c r="Z341" s="115" t="s">
        <v>2755</v>
      </c>
      <c r="AA341" s="115" t="s">
        <v>2774</v>
      </c>
      <c r="AB341" s="115"/>
      <c r="AC341" s="115"/>
      <c r="AD341" s="115"/>
      <c r="AE341" s="115"/>
      <c r="AF341" s="115"/>
      <c r="AG341" s="115" t="s">
        <v>2779</v>
      </c>
      <c r="AH341" s="115" t="s">
        <v>2780</v>
      </c>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1:76" x14ac:dyDescent="0.2">
      <c r="A342" s="115"/>
      <c r="B342" s="115" t="s">
        <v>3003</v>
      </c>
      <c r="C342" s="115"/>
      <c r="D342" s="115" t="s">
        <v>3003</v>
      </c>
      <c r="E342" s="115"/>
      <c r="F342" s="115"/>
      <c r="G342" s="115" t="s">
        <v>3003</v>
      </c>
      <c r="H342" s="115"/>
      <c r="I342" s="115"/>
      <c r="J342" s="115" t="s">
        <v>3038</v>
      </c>
      <c r="K342" s="115" t="s">
        <v>3039</v>
      </c>
      <c r="L342" s="115"/>
      <c r="M342" s="115">
        <v>139</v>
      </c>
      <c r="N342" s="115"/>
      <c r="O342" s="115">
        <v>6</v>
      </c>
      <c r="P342" s="115">
        <v>5</v>
      </c>
      <c r="Q342" s="115">
        <v>72</v>
      </c>
      <c r="R342" s="115"/>
      <c r="S342" s="115">
        <v>98</v>
      </c>
      <c r="T342" s="115"/>
      <c r="U342" s="115" t="s">
        <v>2762</v>
      </c>
      <c r="V342" s="590">
        <v>3825</v>
      </c>
      <c r="W342" s="590">
        <v>1937</v>
      </c>
      <c r="X342" s="590">
        <v>1520</v>
      </c>
      <c r="Y342" s="115"/>
      <c r="Z342" s="115"/>
      <c r="AA342" s="115"/>
      <c r="AB342" s="115"/>
      <c r="AC342" s="115"/>
      <c r="AD342" s="115"/>
      <c r="AE342" s="115" t="s">
        <v>3064</v>
      </c>
      <c r="AF342" s="115" t="s">
        <v>3065</v>
      </c>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1:76" x14ac:dyDescent="0.2">
      <c r="A343" s="115"/>
      <c r="B343" s="115" t="s">
        <v>2495</v>
      </c>
      <c r="C343" s="115"/>
      <c r="D343" s="115" t="s">
        <v>2749</v>
      </c>
      <c r="E343" s="115"/>
      <c r="F343" s="115"/>
      <c r="G343" s="115" t="s">
        <v>2756</v>
      </c>
      <c r="H343" s="115" t="s">
        <v>2757</v>
      </c>
      <c r="I343" s="115" t="s">
        <v>2758</v>
      </c>
      <c r="J343" s="115">
        <v>3.6</v>
      </c>
      <c r="K343" s="115"/>
      <c r="L343" s="115"/>
      <c r="M343" s="115"/>
      <c r="N343" s="115"/>
      <c r="O343" s="115">
        <v>6</v>
      </c>
      <c r="P343" s="115">
        <v>5</v>
      </c>
      <c r="Q343" s="115">
        <v>60</v>
      </c>
      <c r="R343" s="115"/>
      <c r="S343" s="115">
        <v>82</v>
      </c>
      <c r="T343" s="115"/>
      <c r="U343" s="115" t="s">
        <v>2762</v>
      </c>
      <c r="V343" s="590">
        <v>3941</v>
      </c>
      <c r="W343" s="590">
        <v>1994</v>
      </c>
      <c r="X343" s="590">
        <v>1524</v>
      </c>
      <c r="Y343" s="115" t="s">
        <v>2769</v>
      </c>
      <c r="Z343" s="115" t="s">
        <v>2770</v>
      </c>
      <c r="AA343" s="115" t="s">
        <v>2936</v>
      </c>
      <c r="AB343" s="115" t="s">
        <v>3048</v>
      </c>
      <c r="AC343" s="115"/>
      <c r="AD343" s="115"/>
      <c r="AE343" s="115" t="s">
        <v>3066</v>
      </c>
      <c r="AF343" s="115" t="s">
        <v>3067</v>
      </c>
      <c r="AG343" s="115" t="s">
        <v>3078</v>
      </c>
      <c r="AH343" s="115" t="s">
        <v>2781</v>
      </c>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1:76" x14ac:dyDescent="0.2">
      <c r="A344" s="115" t="s">
        <v>2983</v>
      </c>
      <c r="B344" s="115" t="s">
        <v>2891</v>
      </c>
      <c r="C344" s="115"/>
      <c r="D344" s="115" t="s">
        <v>2904</v>
      </c>
      <c r="E344" s="115"/>
      <c r="F344" s="115"/>
      <c r="G344" s="590">
        <v>12190</v>
      </c>
      <c r="H344" s="115"/>
      <c r="I344" s="115"/>
      <c r="J344" s="115">
        <v>3.8</v>
      </c>
      <c r="K344" s="115"/>
      <c r="L344" s="115"/>
      <c r="M344" s="115"/>
      <c r="N344" s="115"/>
      <c r="O344" s="115">
        <v>6</v>
      </c>
      <c r="P344" s="115">
        <v>4</v>
      </c>
      <c r="Q344" s="115">
        <v>50</v>
      </c>
      <c r="R344" s="115"/>
      <c r="S344" s="115">
        <v>68</v>
      </c>
      <c r="T344" s="115"/>
      <c r="U344" s="115" t="s">
        <v>3040</v>
      </c>
      <c r="V344" s="590">
        <v>3962</v>
      </c>
      <c r="W344" s="590">
        <v>2004</v>
      </c>
      <c r="X344" s="590">
        <v>1460</v>
      </c>
      <c r="Y344" s="115" t="s">
        <v>3049</v>
      </c>
      <c r="Z344" s="115" t="s">
        <v>2771</v>
      </c>
      <c r="AA344" s="115" t="s">
        <v>2981</v>
      </c>
      <c r="AB344" s="115" t="s">
        <v>3050</v>
      </c>
      <c r="AC344" s="115"/>
      <c r="AD344" s="115"/>
      <c r="AE344" s="115" t="s">
        <v>2832</v>
      </c>
      <c r="AF344" s="115"/>
      <c r="AG344" s="115" t="s">
        <v>2779</v>
      </c>
      <c r="AH344" s="115" t="s">
        <v>2780</v>
      </c>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1:76" x14ac:dyDescent="0.2">
      <c r="A345" s="115" t="s">
        <v>2984</v>
      </c>
      <c r="B345" s="115" t="s">
        <v>2892</v>
      </c>
      <c r="C345" s="115"/>
      <c r="D345" s="115" t="s">
        <v>3015</v>
      </c>
      <c r="E345" s="115"/>
      <c r="F345" s="115"/>
      <c r="G345" s="590">
        <v>11490</v>
      </c>
      <c r="H345" s="115"/>
      <c r="I345" s="115"/>
      <c r="J345" s="115">
        <v>3.8</v>
      </c>
      <c r="K345" s="115"/>
      <c r="L345" s="115"/>
      <c r="M345" s="115"/>
      <c r="N345" s="115"/>
      <c r="O345" s="115">
        <v>6</v>
      </c>
      <c r="P345" s="115">
        <v>5</v>
      </c>
      <c r="Q345" s="115">
        <v>48</v>
      </c>
      <c r="R345" s="115"/>
      <c r="S345" s="115">
        <v>65</v>
      </c>
      <c r="T345" s="115"/>
      <c r="U345" s="115" t="s">
        <v>2762</v>
      </c>
      <c r="V345" s="590">
        <v>3595</v>
      </c>
      <c r="W345" s="590">
        <v>1875</v>
      </c>
      <c r="X345" s="590">
        <v>1480</v>
      </c>
      <c r="Y345" s="115" t="s">
        <v>2784</v>
      </c>
      <c r="Z345" s="115" t="s">
        <v>2919</v>
      </c>
      <c r="AA345" s="115"/>
      <c r="AB345" s="115"/>
      <c r="AC345" s="115"/>
      <c r="AD345" s="115"/>
      <c r="AE345" s="115" t="s">
        <v>2926</v>
      </c>
      <c r="AF345" s="115"/>
      <c r="AG345" s="115" t="s">
        <v>2779</v>
      </c>
      <c r="AH345" s="115" t="s">
        <v>2780</v>
      </c>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1:76" x14ac:dyDescent="0.2">
      <c r="A346" s="115" t="s">
        <v>2985</v>
      </c>
      <c r="B346" s="115" t="s">
        <v>3004</v>
      </c>
      <c r="C346" s="115"/>
      <c r="D346" s="115" t="s">
        <v>3016</v>
      </c>
      <c r="E346" s="115" t="s">
        <v>3017</v>
      </c>
      <c r="F346" s="115"/>
      <c r="G346" s="590">
        <v>16650</v>
      </c>
      <c r="H346" s="115"/>
      <c r="I346" s="115"/>
      <c r="J346" s="115">
        <v>4</v>
      </c>
      <c r="K346" s="115"/>
      <c r="L346" s="115"/>
      <c r="M346" s="115"/>
      <c r="N346" s="115"/>
      <c r="O346" s="115">
        <v>6</v>
      </c>
      <c r="P346" s="115">
        <v>5</v>
      </c>
      <c r="Q346" s="115">
        <v>100</v>
      </c>
      <c r="R346" s="115"/>
      <c r="S346" s="115">
        <v>136</v>
      </c>
      <c r="T346" s="115"/>
      <c r="U346" s="115" t="s">
        <v>2785</v>
      </c>
      <c r="V346" s="590">
        <v>3821</v>
      </c>
      <c r="W346" s="590">
        <v>1932</v>
      </c>
      <c r="X346" s="590">
        <v>1414</v>
      </c>
      <c r="Y346" s="115" t="s">
        <v>2920</v>
      </c>
      <c r="Z346" s="115" t="s">
        <v>2921</v>
      </c>
      <c r="AA346" s="115"/>
      <c r="AB346" s="115"/>
      <c r="AC346" s="115"/>
      <c r="AD346" s="115"/>
      <c r="AE346" s="115" t="s">
        <v>2927</v>
      </c>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1:76" x14ac:dyDescent="0.2">
      <c r="A347" s="115" t="s">
        <v>2986</v>
      </c>
      <c r="B347" s="115" t="s">
        <v>3005</v>
      </c>
      <c r="C347" s="115"/>
      <c r="D347" s="115" t="s">
        <v>3018</v>
      </c>
      <c r="E347" s="115"/>
      <c r="F347" s="115"/>
      <c r="G347" s="590">
        <v>11490</v>
      </c>
      <c r="H347" s="115"/>
      <c r="I347" s="115"/>
      <c r="J347" s="115">
        <v>4.0999999999999996</v>
      </c>
      <c r="K347" s="115"/>
      <c r="L347" s="115"/>
      <c r="M347" s="115"/>
      <c r="N347" s="115"/>
      <c r="O347" s="115">
        <v>6</v>
      </c>
      <c r="P347" s="115">
        <v>5</v>
      </c>
      <c r="Q347" s="115">
        <v>49</v>
      </c>
      <c r="R347" s="115"/>
      <c r="S347" s="115">
        <v>67</v>
      </c>
      <c r="T347" s="115"/>
      <c r="U347" s="115" t="s">
        <v>2762</v>
      </c>
      <c r="V347" s="590">
        <v>3665</v>
      </c>
      <c r="W347" s="590">
        <v>1905</v>
      </c>
      <c r="X347" s="590">
        <v>1500</v>
      </c>
      <c r="Y347" s="115"/>
      <c r="Z347" s="115"/>
      <c r="AA347" s="115"/>
      <c r="AB347" s="115"/>
      <c r="AC347" s="115"/>
      <c r="AD347" s="115"/>
      <c r="AE347" s="115" t="s">
        <v>2928</v>
      </c>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1:76" x14ac:dyDescent="0.2">
      <c r="A348" s="115" t="s">
        <v>2987</v>
      </c>
      <c r="B348" s="115" t="s">
        <v>2893</v>
      </c>
      <c r="C348" s="115"/>
      <c r="D348" s="115" t="s">
        <v>2905</v>
      </c>
      <c r="E348" s="115" t="s">
        <v>2906</v>
      </c>
      <c r="F348" s="115"/>
      <c r="G348" s="590">
        <v>11010</v>
      </c>
      <c r="H348" s="115"/>
      <c r="I348" s="115"/>
      <c r="J348" s="115">
        <v>4</v>
      </c>
      <c r="K348" s="115"/>
      <c r="L348" s="115"/>
      <c r="M348" s="115"/>
      <c r="N348" s="115"/>
      <c r="O348" s="115">
        <v>6</v>
      </c>
      <c r="P348" s="115">
        <v>5</v>
      </c>
      <c r="Q348" s="115">
        <v>75</v>
      </c>
      <c r="R348" s="115"/>
      <c r="S348" s="115">
        <v>102</v>
      </c>
      <c r="T348" s="115"/>
      <c r="U348" s="115" t="s">
        <v>3041</v>
      </c>
      <c r="V348" s="590">
        <v>3995</v>
      </c>
      <c r="W348" s="590">
        <v>1980</v>
      </c>
      <c r="X348" s="590">
        <v>1525</v>
      </c>
      <c r="Y348" s="115"/>
      <c r="Z348" s="115"/>
      <c r="AA348" s="115"/>
      <c r="AB348" s="115"/>
      <c r="AC348" s="115"/>
      <c r="AD348" s="115"/>
      <c r="AE348" s="115" t="s">
        <v>3068</v>
      </c>
      <c r="AF348" s="115" t="s">
        <v>3069</v>
      </c>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1:76" x14ac:dyDescent="0.2">
      <c r="A349" s="115" t="s">
        <v>2983</v>
      </c>
      <c r="B349" s="115" t="s">
        <v>3006</v>
      </c>
      <c r="C349" s="115"/>
      <c r="D349" s="115" t="s">
        <v>3019</v>
      </c>
      <c r="E349" s="115"/>
      <c r="F349" s="115"/>
      <c r="G349" s="590">
        <v>18490</v>
      </c>
      <c r="H349" s="115"/>
      <c r="I349" s="115"/>
      <c r="J349" s="115">
        <v>4.4000000000000004</v>
      </c>
      <c r="K349" s="115"/>
      <c r="L349" s="115"/>
      <c r="M349" s="115"/>
      <c r="N349" s="115"/>
      <c r="O349" s="115">
        <v>6</v>
      </c>
      <c r="P349" s="115">
        <v>5</v>
      </c>
      <c r="Q349" s="115">
        <v>44</v>
      </c>
      <c r="R349" s="115"/>
      <c r="S349" s="115">
        <v>60</v>
      </c>
      <c r="T349" s="115"/>
      <c r="U349" s="115" t="s">
        <v>2762</v>
      </c>
      <c r="V349" s="590">
        <v>3992</v>
      </c>
      <c r="W349" s="590">
        <v>1958</v>
      </c>
      <c r="X349" s="590">
        <v>1452</v>
      </c>
      <c r="Y349" s="115" t="s">
        <v>2753</v>
      </c>
      <c r="Z349" s="115" t="s">
        <v>2982</v>
      </c>
      <c r="AA349" s="115" t="s">
        <v>2786</v>
      </c>
      <c r="AB349" s="115" t="s">
        <v>2917</v>
      </c>
      <c r="AC349" s="115" t="s">
        <v>2786</v>
      </c>
      <c r="AD349" s="115" t="s">
        <v>2922</v>
      </c>
      <c r="AE349" s="115" t="s">
        <v>3070</v>
      </c>
      <c r="AF349" s="115" t="s">
        <v>3071</v>
      </c>
      <c r="AG349" s="115" t="s">
        <v>3079</v>
      </c>
      <c r="AH349" s="115" t="s">
        <v>3080</v>
      </c>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1:76" x14ac:dyDescent="0.2">
      <c r="A350" s="115" t="s">
        <v>2540</v>
      </c>
      <c r="B350" s="115" t="s">
        <v>2819</v>
      </c>
      <c r="C350" s="115"/>
      <c r="D350" s="115" t="s">
        <v>2907</v>
      </c>
      <c r="E350" s="115"/>
      <c r="F350" s="115"/>
      <c r="G350" s="590">
        <v>18090</v>
      </c>
      <c r="H350" s="115"/>
      <c r="I350" s="115"/>
      <c r="J350" s="115">
        <v>4.0999999999999996</v>
      </c>
      <c r="K350" s="115"/>
      <c r="L350" s="115"/>
      <c r="M350" s="115"/>
      <c r="N350" s="115"/>
      <c r="O350" s="115"/>
      <c r="P350" s="115"/>
      <c r="Q350" s="115">
        <v>100</v>
      </c>
      <c r="R350" s="115"/>
      <c r="S350" s="115">
        <v>136</v>
      </c>
      <c r="T350" s="115"/>
      <c r="U350" s="115" t="s">
        <v>2785</v>
      </c>
      <c r="V350" s="590">
        <v>3982</v>
      </c>
      <c r="W350" s="590">
        <v>1932</v>
      </c>
      <c r="X350" s="590">
        <v>1425</v>
      </c>
      <c r="Y350" s="115" t="s">
        <v>2920</v>
      </c>
      <c r="Z350" s="115" t="s">
        <v>3051</v>
      </c>
      <c r="AA350" s="115"/>
      <c r="AB350" s="115"/>
      <c r="AC350" s="115"/>
      <c r="AD350" s="115"/>
      <c r="AE350" s="115" t="s">
        <v>2927</v>
      </c>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1:76" x14ac:dyDescent="0.2">
      <c r="A351" s="115" t="s">
        <v>2988</v>
      </c>
      <c r="B351" s="115" t="s">
        <v>2899</v>
      </c>
      <c r="C351" s="115"/>
      <c r="D351" s="115" t="s">
        <v>3020</v>
      </c>
      <c r="E351" s="115" t="s">
        <v>3021</v>
      </c>
      <c r="F351" s="115"/>
      <c r="G351" s="590">
        <v>10580</v>
      </c>
      <c r="H351" s="115"/>
      <c r="I351" s="115"/>
      <c r="J351" s="115">
        <v>4.0999999999999996</v>
      </c>
      <c r="K351" s="115"/>
      <c r="L351" s="115"/>
      <c r="M351" s="115"/>
      <c r="N351" s="115"/>
      <c r="O351" s="115"/>
      <c r="P351" s="115"/>
      <c r="Q351" s="115">
        <v>141</v>
      </c>
      <c r="R351" s="115"/>
      <c r="S351" s="115">
        <v>192</v>
      </c>
      <c r="T351" s="115"/>
      <c r="U351" s="115" t="s">
        <v>2785</v>
      </c>
      <c r="V351" s="115" t="s">
        <v>2637</v>
      </c>
      <c r="W351" s="115" t="s">
        <v>2637</v>
      </c>
      <c r="X351" s="115" t="s">
        <v>2637</v>
      </c>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1:76" x14ac:dyDescent="0.2">
      <c r="A352" s="115" t="s">
        <v>2540</v>
      </c>
      <c r="B352" s="115" t="s">
        <v>2894</v>
      </c>
      <c r="C352" s="115"/>
      <c r="D352" s="115" t="s">
        <v>2908</v>
      </c>
      <c r="E352" s="115" t="s">
        <v>2752</v>
      </c>
      <c r="F352" s="115"/>
      <c r="G352" s="590">
        <v>11450</v>
      </c>
      <c r="H352" s="115"/>
      <c r="I352" s="115"/>
      <c r="J352" s="115">
        <v>4.0999999999999996</v>
      </c>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1:76" x14ac:dyDescent="0.2">
      <c r="A353" s="115" t="s">
        <v>2989</v>
      </c>
      <c r="B353" s="115" t="s">
        <v>3007</v>
      </c>
      <c r="C353" s="115"/>
      <c r="D353" s="115" t="s">
        <v>3022</v>
      </c>
      <c r="E353" s="115"/>
      <c r="F353" s="115"/>
      <c r="G353" s="590">
        <v>8990</v>
      </c>
      <c r="H353" s="115"/>
      <c r="I353" s="115"/>
      <c r="J353" s="115">
        <v>4.0999999999999996</v>
      </c>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1:76" x14ac:dyDescent="0.2">
      <c r="A354" s="115" t="s">
        <v>2990</v>
      </c>
      <c r="B354" s="115" t="s">
        <v>2746</v>
      </c>
      <c r="C354" s="115"/>
      <c r="D354" s="115" t="s">
        <v>2909</v>
      </c>
      <c r="E354" s="115"/>
      <c r="F354" s="115"/>
      <c r="G354" s="590">
        <v>9990</v>
      </c>
      <c r="H354" s="115"/>
      <c r="I354" s="115"/>
      <c r="J354" s="115">
        <v>4.2</v>
      </c>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1:76" x14ac:dyDescent="0.2">
      <c r="A355" s="115" t="s">
        <v>2991</v>
      </c>
      <c r="B355" s="115" t="s">
        <v>2744</v>
      </c>
      <c r="C355" s="115"/>
      <c r="D355" s="115" t="s">
        <v>3023</v>
      </c>
      <c r="E355" s="115"/>
      <c r="F355" s="115"/>
      <c r="G355" s="590">
        <v>9920</v>
      </c>
      <c r="H355" s="115"/>
      <c r="I355" s="115"/>
      <c r="J355" s="115">
        <v>4.2</v>
      </c>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1:76" x14ac:dyDescent="0.2">
      <c r="A356" s="115" t="s">
        <v>2992</v>
      </c>
      <c r="B356" s="115" t="s">
        <v>2895</v>
      </c>
      <c r="C356" s="115"/>
      <c r="D356" s="115" t="s">
        <v>2910</v>
      </c>
      <c r="E356" s="115" t="s">
        <v>3024</v>
      </c>
      <c r="F356" s="115"/>
      <c r="G356" s="590">
        <v>11590</v>
      </c>
      <c r="H356" s="115"/>
      <c r="I356" s="115"/>
      <c r="J356" s="115">
        <v>4.2</v>
      </c>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1:76" x14ac:dyDescent="0.2">
      <c r="A357" s="115" t="s">
        <v>2987</v>
      </c>
      <c r="B357" s="115" t="s">
        <v>2896</v>
      </c>
      <c r="C357" s="115"/>
      <c r="D357" s="115" t="s">
        <v>2905</v>
      </c>
      <c r="E357" s="115" t="s">
        <v>2978</v>
      </c>
      <c r="F357" s="115" t="s">
        <v>3025</v>
      </c>
      <c r="G357" s="590">
        <v>11710</v>
      </c>
      <c r="H357" s="115"/>
      <c r="I357" s="115"/>
      <c r="J357" s="115">
        <v>4.2</v>
      </c>
      <c r="K357" s="115"/>
      <c r="L357" s="115"/>
      <c r="M357" s="590"/>
      <c r="N357" s="590"/>
      <c r="O357" s="590"/>
      <c r="P357" s="590"/>
      <c r="Q357" s="590"/>
      <c r="R357" s="590"/>
      <c r="S357" s="590"/>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1:76" x14ac:dyDescent="0.2">
      <c r="A358" s="115" t="s">
        <v>2993</v>
      </c>
      <c r="B358" s="115" t="s">
        <v>2820</v>
      </c>
      <c r="C358" s="115"/>
      <c r="D358" s="115" t="s">
        <v>3026</v>
      </c>
      <c r="E358" s="115" t="s">
        <v>2980</v>
      </c>
      <c r="F358" s="115"/>
      <c r="G358" s="590">
        <v>17870</v>
      </c>
      <c r="H358" s="115"/>
      <c r="I358" s="115"/>
      <c r="J358" s="115">
        <v>4.2</v>
      </c>
      <c r="K358" s="115"/>
      <c r="L358" s="115"/>
      <c r="M358" s="590" t="s">
        <v>2540</v>
      </c>
      <c r="N358" s="590" t="s">
        <v>2995</v>
      </c>
      <c r="O358" s="590"/>
      <c r="P358" s="590"/>
      <c r="Q358" s="590"/>
      <c r="R358" s="590"/>
      <c r="S358" s="590"/>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1:76" x14ac:dyDescent="0.2">
      <c r="A359" s="115" t="s">
        <v>2985</v>
      </c>
      <c r="B359" s="115" t="s">
        <v>2897</v>
      </c>
      <c r="C359" s="115"/>
      <c r="D359" s="115" t="s">
        <v>2750</v>
      </c>
      <c r="E359" s="115" t="s">
        <v>2911</v>
      </c>
      <c r="F359" s="115"/>
      <c r="G359" s="590">
        <v>14290</v>
      </c>
      <c r="H359" s="115"/>
      <c r="I359" s="115"/>
      <c r="J359" s="115">
        <v>4.2</v>
      </c>
      <c r="K359" s="115"/>
      <c r="L359" s="115"/>
      <c r="M359" s="115" t="s">
        <v>3849</v>
      </c>
      <c r="N359" s="115" t="s">
        <v>2943</v>
      </c>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1:76" x14ac:dyDescent="0.2">
      <c r="A360" s="115" t="s">
        <v>2988</v>
      </c>
      <c r="B360" s="115" t="s">
        <v>3008</v>
      </c>
      <c r="C360" s="115"/>
      <c r="D360" s="115" t="s">
        <v>3027</v>
      </c>
      <c r="E360" s="115" t="s">
        <v>3028</v>
      </c>
      <c r="F360" s="115" t="s">
        <v>3029</v>
      </c>
      <c r="G360" s="590">
        <v>16400</v>
      </c>
      <c r="H360" s="115"/>
      <c r="I360" s="115"/>
      <c r="J360" s="115">
        <v>4.2</v>
      </c>
      <c r="K360" s="115"/>
      <c r="L360" s="115"/>
      <c r="M360" s="590" t="s">
        <v>3853</v>
      </c>
      <c r="N360" s="590" t="s">
        <v>3280</v>
      </c>
      <c r="O360" s="590"/>
      <c r="P360" s="590"/>
      <c r="Q360" s="590"/>
      <c r="R360" s="590"/>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1:76" x14ac:dyDescent="0.2">
      <c r="A361" s="115" t="s">
        <v>2994</v>
      </c>
      <c r="B361" s="115" t="s">
        <v>3009</v>
      </c>
      <c r="C361" s="115"/>
      <c r="D361" s="115" t="s">
        <v>3030</v>
      </c>
      <c r="E361" s="115"/>
      <c r="F361" s="115"/>
      <c r="G361" s="590">
        <v>16750</v>
      </c>
      <c r="H361" s="115"/>
      <c r="I361" s="115"/>
      <c r="J361" s="115">
        <v>4.3</v>
      </c>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1:76" x14ac:dyDescent="0.2">
      <c r="A362" s="115" t="s">
        <v>2983</v>
      </c>
      <c r="B362" s="115" t="s">
        <v>3010</v>
      </c>
      <c r="C362" s="115"/>
      <c r="D362" s="115" t="s">
        <v>3031</v>
      </c>
      <c r="E362" s="115"/>
      <c r="F362" s="115"/>
      <c r="G362" s="590">
        <v>14990</v>
      </c>
      <c r="H362" s="115"/>
      <c r="I362" s="115"/>
      <c r="J362" s="115">
        <v>4.3</v>
      </c>
      <c r="K362" s="115"/>
      <c r="L362" s="115"/>
      <c r="M362" s="115" t="s">
        <v>4052</v>
      </c>
      <c r="N362" s="115" t="s">
        <v>4053</v>
      </c>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1:76" x14ac:dyDescent="0.2">
      <c r="A363" s="115" t="s">
        <v>2995</v>
      </c>
      <c r="B363" s="115" t="s">
        <v>3011</v>
      </c>
      <c r="C363" s="115"/>
      <c r="D363" s="115" t="s">
        <v>2754</v>
      </c>
      <c r="E363" s="115" t="s">
        <v>2755</v>
      </c>
      <c r="F363" s="115" t="s">
        <v>3032</v>
      </c>
      <c r="G363" s="590">
        <v>15700</v>
      </c>
      <c r="H363" s="115"/>
      <c r="I363" s="115"/>
      <c r="J363" s="115">
        <v>4.3</v>
      </c>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1:76" x14ac:dyDescent="0.2">
      <c r="A364" s="115" t="s">
        <v>2996</v>
      </c>
      <c r="B364" s="115" t="s">
        <v>3012</v>
      </c>
      <c r="C364" s="115"/>
      <c r="D364" s="115" t="s">
        <v>3033</v>
      </c>
      <c r="E364" s="115"/>
      <c r="F364" s="115"/>
      <c r="G364" s="590">
        <v>15137</v>
      </c>
      <c r="H364" s="115"/>
      <c r="I364" s="115"/>
      <c r="J364" s="115">
        <v>4.4000000000000004</v>
      </c>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1:76" x14ac:dyDescent="0.2">
      <c r="A365" s="115" t="s">
        <v>2989</v>
      </c>
      <c r="B365" s="115" t="s">
        <v>2743</v>
      </c>
      <c r="C365" s="115"/>
      <c r="D365" s="115" t="s">
        <v>2769</v>
      </c>
      <c r="E365" s="115"/>
      <c r="F365" s="115"/>
      <c r="G365" s="590">
        <v>11990</v>
      </c>
      <c r="H365" s="115"/>
      <c r="I365" s="115"/>
      <c r="J365" s="115">
        <v>4.4000000000000004</v>
      </c>
      <c r="K365" s="115"/>
      <c r="L365" s="115"/>
      <c r="M365" s="115">
        <v>5.2</v>
      </c>
      <c r="N365" s="115">
        <v>5.4</v>
      </c>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1:76" x14ac:dyDescent="0.2">
      <c r="A366" s="115" t="s">
        <v>2997</v>
      </c>
      <c r="B366" s="115" t="s">
        <v>3013</v>
      </c>
      <c r="C366" s="115"/>
      <c r="D366" s="115" t="s">
        <v>2937</v>
      </c>
      <c r="E366" s="115" t="s">
        <v>3034</v>
      </c>
      <c r="F366" s="115"/>
      <c r="G366" s="590">
        <v>16100</v>
      </c>
      <c r="H366" s="115"/>
      <c r="I366" s="115"/>
      <c r="J366" s="115">
        <v>4.4000000000000004</v>
      </c>
      <c r="K366" s="115"/>
      <c r="L366" s="115"/>
      <c r="M366" s="671"/>
      <c r="N366" s="671"/>
      <c r="O366" s="671"/>
      <c r="P366" s="671"/>
      <c r="Q366" s="671"/>
      <c r="R366" s="671"/>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1:76" x14ac:dyDescent="0.2">
      <c r="A367" s="115" t="s">
        <v>2998</v>
      </c>
      <c r="B367" s="115" t="s">
        <v>2745</v>
      </c>
      <c r="C367" s="115"/>
      <c r="D367" s="115" t="s">
        <v>2912</v>
      </c>
      <c r="E367" s="115"/>
      <c r="F367" s="115"/>
      <c r="G367" s="590">
        <v>10890</v>
      </c>
      <c r="H367" s="115"/>
      <c r="I367" s="115"/>
      <c r="J367" s="115">
        <v>4.5</v>
      </c>
      <c r="K367" s="115"/>
      <c r="L367" s="115"/>
      <c r="M367" s="671">
        <v>136</v>
      </c>
      <c r="N367" s="671">
        <v>141</v>
      </c>
      <c r="O367" s="671"/>
      <c r="P367" s="671"/>
      <c r="Q367" s="671"/>
      <c r="R367" s="671"/>
      <c r="S367" s="671"/>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1:76" x14ac:dyDescent="0.2">
      <c r="A368" s="115" t="s">
        <v>2999</v>
      </c>
      <c r="B368" s="115" t="s">
        <v>2900</v>
      </c>
      <c r="C368" s="115"/>
      <c r="D368" s="115" t="s">
        <v>2913</v>
      </c>
      <c r="E368" s="115"/>
      <c r="F368" s="115"/>
      <c r="G368" s="590">
        <v>20800</v>
      </c>
      <c r="H368" s="115"/>
      <c r="I368" s="115"/>
      <c r="J368" s="115">
        <v>4.5999999999999996</v>
      </c>
      <c r="K368" s="115"/>
      <c r="L368" s="115"/>
      <c r="M368" s="671"/>
      <c r="N368" s="671"/>
      <c r="O368" s="671"/>
      <c r="P368" s="671"/>
      <c r="Q368" s="671"/>
      <c r="R368" s="671"/>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1:76" x14ac:dyDescent="0.2">
      <c r="A369" s="115" t="s">
        <v>3000</v>
      </c>
      <c r="B369" s="115" t="s">
        <v>2902</v>
      </c>
      <c r="C369" s="115"/>
      <c r="D369" s="115" t="s">
        <v>3035</v>
      </c>
      <c r="E369" s="115"/>
      <c r="F369" s="115"/>
      <c r="G369" s="590">
        <v>10390</v>
      </c>
      <c r="H369" s="115"/>
      <c r="I369" s="115"/>
      <c r="J369" s="115">
        <v>4.5999999999999996</v>
      </c>
      <c r="K369" s="115"/>
      <c r="L369" s="115"/>
      <c r="M369" s="671" t="s">
        <v>3573</v>
      </c>
      <c r="N369" s="671" t="s">
        <v>3573</v>
      </c>
      <c r="O369" s="671"/>
      <c r="P369" s="671"/>
      <c r="Q369" s="671"/>
      <c r="R369" s="671"/>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1:76" x14ac:dyDescent="0.2">
      <c r="A370" s="115" t="s">
        <v>3001</v>
      </c>
      <c r="B370" s="115" t="s">
        <v>3014</v>
      </c>
      <c r="C370" s="115"/>
      <c r="D370" s="115" t="s">
        <v>3036</v>
      </c>
      <c r="E370" s="115"/>
      <c r="F370" s="115"/>
      <c r="G370" s="590">
        <v>17420</v>
      </c>
      <c r="H370" s="115"/>
      <c r="I370" s="115"/>
      <c r="J370" s="115">
        <v>4.7</v>
      </c>
      <c r="K370" s="115"/>
      <c r="L370" s="115"/>
      <c r="M370" s="768">
        <v>5</v>
      </c>
      <c r="N370" s="768">
        <v>5</v>
      </c>
      <c r="O370" s="768"/>
      <c r="P370" s="768"/>
      <c r="Q370" s="768"/>
      <c r="R370" s="768"/>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1:76" x14ac:dyDescent="0.2">
      <c r="A371" s="115" t="s">
        <v>2991</v>
      </c>
      <c r="B371" s="115" t="s">
        <v>2901</v>
      </c>
      <c r="C371" s="115"/>
      <c r="D371" s="115" t="s">
        <v>3037</v>
      </c>
      <c r="E371" s="115"/>
      <c r="F371" s="115"/>
      <c r="G371" s="590">
        <v>11760</v>
      </c>
      <c r="H371" s="115"/>
      <c r="I371" s="115"/>
      <c r="J371" s="115">
        <v>4.7</v>
      </c>
      <c r="K371" s="115"/>
      <c r="L371" s="115"/>
      <c r="M371" s="768">
        <v>85</v>
      </c>
      <c r="N371" s="768">
        <v>55</v>
      </c>
      <c r="O371" s="768"/>
      <c r="P371" s="768"/>
      <c r="Q371" s="768"/>
      <c r="R371" s="768"/>
      <c r="S371" s="590"/>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1:76" x14ac:dyDescent="0.2">
      <c r="A372" s="115" t="s">
        <v>2999</v>
      </c>
      <c r="B372" s="115" t="s">
        <v>2903</v>
      </c>
      <c r="C372" s="115"/>
      <c r="D372" s="115" t="s">
        <v>2913</v>
      </c>
      <c r="E372" s="115"/>
      <c r="F372" s="115"/>
      <c r="G372" s="590">
        <v>20800</v>
      </c>
      <c r="H372" s="115"/>
      <c r="I372" s="115"/>
      <c r="J372" s="115">
        <v>6</v>
      </c>
      <c r="K372" s="115"/>
      <c r="L372" s="115"/>
      <c r="M372" s="768"/>
      <c r="N372" s="768"/>
      <c r="O372" s="768"/>
      <c r="P372" s="768"/>
      <c r="Q372" s="768"/>
      <c r="R372" s="768"/>
      <c r="S372" s="590"/>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1:76" x14ac:dyDescent="0.2">
      <c r="A373" s="115" t="s">
        <v>3002</v>
      </c>
      <c r="B373" s="115" t="s">
        <v>2747</v>
      </c>
      <c r="C373" s="115" t="s">
        <v>2748</v>
      </c>
      <c r="D373" s="115" t="s">
        <v>2637</v>
      </c>
      <c r="E373" s="115"/>
      <c r="F373" s="115"/>
      <c r="G373" s="115" t="s">
        <v>2637</v>
      </c>
      <c r="H373" s="115"/>
      <c r="I373" s="115"/>
      <c r="J373" s="115"/>
      <c r="K373" s="115"/>
      <c r="L373" s="115"/>
      <c r="M373" s="768">
        <v>115</v>
      </c>
      <c r="N373" s="768">
        <v>75</v>
      </c>
      <c r="O373" s="768"/>
      <c r="P373" s="768"/>
      <c r="Q373" s="768"/>
      <c r="R373" s="768"/>
      <c r="S373" s="590"/>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1:76" x14ac:dyDescent="0.2">
      <c r="A374" s="115"/>
      <c r="B374" s="115"/>
      <c r="C374" s="115"/>
      <c r="D374" s="115"/>
      <c r="E374" s="115"/>
      <c r="F374" s="115"/>
      <c r="G374" s="115"/>
      <c r="H374" s="115"/>
      <c r="I374" s="115"/>
      <c r="J374" s="115"/>
      <c r="K374" s="115"/>
      <c r="L374" s="115"/>
      <c r="M374" s="768"/>
      <c r="N374" s="768"/>
      <c r="O374" s="768"/>
      <c r="P374" s="768"/>
      <c r="Q374" s="768"/>
      <c r="R374" s="768"/>
      <c r="S374" s="590"/>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1:76" x14ac:dyDescent="0.2">
      <c r="A375" s="115"/>
      <c r="B375" s="115"/>
      <c r="C375" s="115"/>
      <c r="D375" s="115"/>
      <c r="E375" s="115"/>
      <c r="F375" s="115"/>
      <c r="G375" s="115"/>
      <c r="H375" s="115"/>
      <c r="I375" s="115"/>
      <c r="J375" s="115"/>
      <c r="K375" s="115"/>
      <c r="L375" s="115"/>
      <c r="M375" s="768" t="s">
        <v>2785</v>
      </c>
      <c r="N375" s="768" t="s">
        <v>2785</v>
      </c>
      <c r="O375" s="768"/>
      <c r="P375" s="768"/>
      <c r="Q375" s="768"/>
      <c r="R375" s="768"/>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1:76" x14ac:dyDescent="0.2">
      <c r="A376" s="115"/>
      <c r="B376" s="115"/>
      <c r="C376" s="115"/>
      <c r="D376" s="115"/>
      <c r="E376" s="115"/>
      <c r="F376" s="115"/>
      <c r="G376" s="115"/>
      <c r="H376" s="115"/>
      <c r="I376" s="115"/>
      <c r="J376" s="115"/>
      <c r="K376" s="115"/>
      <c r="L376" s="115"/>
      <c r="M376" s="768" t="s">
        <v>4064</v>
      </c>
      <c r="N376" s="768" t="s">
        <v>4065</v>
      </c>
      <c r="O376" s="768"/>
      <c r="P376" s="768"/>
      <c r="Q376" s="768"/>
      <c r="R376" s="768"/>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1:76" x14ac:dyDescent="0.2">
      <c r="A377" s="115"/>
      <c r="B377" s="115"/>
      <c r="C377" s="115"/>
      <c r="D377" s="115"/>
      <c r="E377" s="115"/>
      <c r="F377" s="115"/>
      <c r="G377" s="115"/>
      <c r="H377" s="115"/>
      <c r="I377" s="115"/>
      <c r="J377" s="115"/>
      <c r="K377" s="115"/>
      <c r="L377" s="115"/>
      <c r="M377" s="768" t="s">
        <v>4074</v>
      </c>
      <c r="N377" s="768" t="s">
        <v>4075</v>
      </c>
      <c r="O377" s="768"/>
      <c r="P377" s="768"/>
      <c r="Q377" s="768"/>
      <c r="R377" s="768"/>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1:76" x14ac:dyDescent="0.2">
      <c r="A378" s="115"/>
      <c r="B378" s="115"/>
      <c r="C378" s="115"/>
      <c r="D378" s="115"/>
      <c r="E378" s="115"/>
      <c r="F378" s="115"/>
      <c r="G378" s="115"/>
      <c r="H378" s="115"/>
      <c r="I378" s="115"/>
      <c r="J378" s="115"/>
      <c r="K378" s="115"/>
      <c r="L378" s="115"/>
      <c r="M378" s="671" t="s">
        <v>4086</v>
      </c>
      <c r="N378" s="671" t="s">
        <v>4087</v>
      </c>
      <c r="O378" s="671"/>
      <c r="P378" s="671"/>
      <c r="Q378" s="671"/>
      <c r="R378" s="671"/>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1:76" x14ac:dyDescent="0.2">
      <c r="A379" s="115"/>
      <c r="B379" s="115"/>
      <c r="C379" s="115"/>
      <c r="D379" s="115"/>
      <c r="E379" s="115"/>
      <c r="F379" s="115"/>
      <c r="G379" s="115"/>
      <c r="H379" s="115"/>
      <c r="I379" s="115"/>
      <c r="J379" s="115"/>
      <c r="K379" s="115"/>
      <c r="L379" s="115"/>
      <c r="M379" s="671" t="s">
        <v>4029</v>
      </c>
      <c r="N379" s="671" t="s">
        <v>4096</v>
      </c>
      <c r="O379" s="671"/>
      <c r="P379" s="671"/>
      <c r="Q379" s="671"/>
      <c r="R379" s="671"/>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1:76" x14ac:dyDescent="0.2">
      <c r="A380" s="115"/>
      <c r="B380" s="115"/>
      <c r="C380" s="115"/>
      <c r="D380" s="115"/>
      <c r="E380" s="115"/>
      <c r="F380" s="115"/>
      <c r="G380" s="115"/>
      <c r="H380" s="115"/>
      <c r="I380" s="115"/>
      <c r="J380" s="115"/>
      <c r="K380" s="115"/>
      <c r="L380" s="115"/>
      <c r="M380" s="671" t="s">
        <v>3865</v>
      </c>
      <c r="N380" s="671" t="s">
        <v>3266</v>
      </c>
      <c r="O380" s="671"/>
      <c r="P380" s="671"/>
      <c r="Q380" s="671"/>
      <c r="R380" s="671"/>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1:76" x14ac:dyDescent="0.2">
      <c r="A381" s="115"/>
      <c r="B381" s="115"/>
      <c r="C381" s="115"/>
      <c r="D381" s="115"/>
      <c r="E381" s="115"/>
      <c r="F381" s="115"/>
      <c r="G381" s="115"/>
      <c r="H381" s="115"/>
      <c r="I381" s="115"/>
      <c r="J381" s="115"/>
      <c r="K381" s="115"/>
      <c r="L381" s="115"/>
      <c r="M381" s="671" t="s">
        <v>3866</v>
      </c>
      <c r="N381" s="671" t="s">
        <v>3867</v>
      </c>
      <c r="O381" s="671"/>
      <c r="P381" s="671"/>
      <c r="Q381" s="671"/>
      <c r="R381" s="671"/>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1:76" x14ac:dyDescent="0.2">
      <c r="A382" s="115"/>
      <c r="B382" s="115"/>
      <c r="C382" s="115"/>
      <c r="D382" s="115"/>
      <c r="E382" s="115"/>
      <c r="F382" s="115"/>
      <c r="G382" s="115"/>
      <c r="H382" s="115"/>
      <c r="I382" s="115"/>
      <c r="J382" s="115"/>
      <c r="K382" s="115"/>
      <c r="L382" s="115"/>
      <c r="M382" s="671"/>
      <c r="N382" s="671"/>
      <c r="O382" s="671"/>
      <c r="P382" s="671"/>
      <c r="Q382" s="671"/>
      <c r="R382" s="671"/>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1:76" x14ac:dyDescent="0.2">
      <c r="A383" s="115"/>
      <c r="B383" s="115"/>
      <c r="C383" s="115"/>
      <c r="D383" s="115"/>
      <c r="E383" s="115"/>
      <c r="F383" s="115"/>
      <c r="G383" s="115"/>
      <c r="H383" s="115"/>
      <c r="I383" s="115"/>
      <c r="J383" s="115"/>
      <c r="K383" s="115"/>
      <c r="L383" s="115"/>
      <c r="M383" s="671"/>
      <c r="N383" s="671"/>
      <c r="O383" s="671"/>
      <c r="P383" s="671"/>
      <c r="Q383" s="671"/>
      <c r="R383" s="671"/>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1:76" x14ac:dyDescent="0.2">
      <c r="A384" s="115"/>
      <c r="B384" s="115"/>
      <c r="C384" s="115"/>
      <c r="D384" s="115"/>
      <c r="E384" s="115"/>
      <c r="F384" s="115"/>
      <c r="G384" s="115"/>
      <c r="H384" s="115"/>
      <c r="I384" s="115"/>
      <c r="J384" s="115"/>
      <c r="K384" s="115"/>
      <c r="L384" s="115"/>
      <c r="M384" s="768" t="s">
        <v>3871</v>
      </c>
      <c r="N384" s="768" t="s">
        <v>3232</v>
      </c>
      <c r="O384" s="768"/>
      <c r="P384" s="768"/>
      <c r="Q384" s="768"/>
      <c r="R384" s="768"/>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1:76" x14ac:dyDescent="0.2">
      <c r="A385" s="115"/>
      <c r="B385" s="115"/>
      <c r="C385" s="115"/>
      <c r="D385" s="115"/>
      <c r="E385" s="115"/>
      <c r="F385" s="115"/>
      <c r="G385" s="115"/>
      <c r="H385" s="115"/>
      <c r="I385" s="115"/>
      <c r="J385" s="115"/>
      <c r="K385" s="115"/>
      <c r="L385" s="115"/>
      <c r="M385" s="768"/>
      <c r="N385" s="768"/>
      <c r="O385" s="768"/>
      <c r="P385" s="768"/>
      <c r="Q385" s="768"/>
      <c r="R385" s="768"/>
      <c r="S385" s="768"/>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1:76" x14ac:dyDescent="0.2">
      <c r="A386" s="115"/>
      <c r="B386" s="115"/>
      <c r="C386" s="115"/>
      <c r="D386" s="115"/>
      <c r="E386" s="115"/>
      <c r="F386" s="115"/>
      <c r="G386" s="115"/>
      <c r="H386" s="115"/>
      <c r="I386" s="115"/>
      <c r="J386" s="115"/>
      <c r="K386" s="115"/>
      <c r="L386" s="115"/>
      <c r="M386" s="768"/>
      <c r="N386" s="768" t="s">
        <v>3072</v>
      </c>
      <c r="O386" s="768"/>
      <c r="P386" s="768"/>
      <c r="Q386" s="768"/>
      <c r="R386" s="768"/>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1:76" x14ac:dyDescent="0.2">
      <c r="A387" s="115"/>
      <c r="B387" s="115"/>
      <c r="C387" s="115"/>
      <c r="D387" s="115"/>
      <c r="E387" s="115"/>
      <c r="F387" s="115"/>
      <c r="G387" s="115"/>
      <c r="H387" s="115"/>
      <c r="I387" s="115"/>
      <c r="J387" s="115"/>
      <c r="K387" s="115"/>
      <c r="L387" s="115"/>
      <c r="M387" s="768"/>
      <c r="N387" s="768" t="s">
        <v>3234</v>
      </c>
      <c r="O387" s="768"/>
      <c r="P387" s="671"/>
      <c r="Q387" s="768"/>
      <c r="R387" s="768"/>
      <c r="S387" s="115"/>
      <c r="T387" s="671"/>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1:76" x14ac:dyDescent="0.2">
      <c r="A388" s="115"/>
      <c r="B388" s="115"/>
      <c r="C388" s="115"/>
      <c r="D388" s="115"/>
      <c r="E388" s="115"/>
      <c r="F388" s="115"/>
      <c r="G388" s="115"/>
      <c r="H388" s="115"/>
      <c r="I388" s="115"/>
      <c r="J388" s="115"/>
      <c r="K388" s="115"/>
      <c r="L388" s="115"/>
      <c r="M388" s="671"/>
      <c r="N388" s="671"/>
      <c r="O388" s="671"/>
      <c r="P388" s="671"/>
      <c r="Q388" s="671"/>
      <c r="R388" s="671"/>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1:76" x14ac:dyDescent="0.2">
      <c r="A389" s="115"/>
      <c r="B389" s="115"/>
      <c r="C389" s="115"/>
      <c r="D389" s="115"/>
      <c r="E389" s="115"/>
      <c r="F389" s="115"/>
      <c r="G389" s="115"/>
      <c r="H389" s="115"/>
      <c r="I389" s="115"/>
      <c r="J389" s="115"/>
      <c r="K389" s="115"/>
      <c r="L389" s="115"/>
      <c r="M389" s="768"/>
      <c r="N389" s="768"/>
      <c r="O389" s="671"/>
      <c r="P389" s="671"/>
      <c r="Q389" s="671"/>
      <c r="R389" s="671"/>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1:76" x14ac:dyDescent="0.2">
      <c r="A390" s="115"/>
      <c r="B390" s="115"/>
      <c r="C390" s="115"/>
      <c r="D390" s="115"/>
      <c r="E390" s="115"/>
      <c r="F390" s="115"/>
      <c r="G390" s="115"/>
      <c r="H390" s="115"/>
      <c r="I390" s="115"/>
      <c r="J390" s="115"/>
      <c r="K390" s="115"/>
      <c r="L390" s="115"/>
      <c r="M390" s="671"/>
      <c r="N390" s="671"/>
      <c r="O390" s="671"/>
      <c r="P390" s="671"/>
      <c r="Q390" s="671"/>
      <c r="R390" s="671"/>
      <c r="S390" s="671"/>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1:76" x14ac:dyDescent="0.2">
      <c r="A391" s="115"/>
      <c r="B391" s="115"/>
      <c r="C391" s="115"/>
      <c r="D391" s="115"/>
      <c r="E391" s="115"/>
      <c r="F391" s="115"/>
      <c r="G391" s="115"/>
      <c r="H391" s="115"/>
      <c r="I391" s="115"/>
      <c r="J391" s="115"/>
      <c r="K391" s="115"/>
      <c r="L391" s="115"/>
      <c r="M391" s="671"/>
      <c r="N391" s="671"/>
      <c r="O391" s="671"/>
      <c r="P391" s="671"/>
      <c r="Q391" s="671"/>
      <c r="R391" s="671"/>
      <c r="S391" s="671"/>
      <c r="T391" s="590"/>
      <c r="U391" s="590"/>
      <c r="V391" s="590"/>
      <c r="W391" s="590"/>
      <c r="X391" s="590"/>
      <c r="Y391" s="590"/>
      <c r="Z391" s="590"/>
      <c r="AA391" s="590"/>
      <c r="AB391" s="590"/>
      <c r="AC391" s="590"/>
      <c r="AD391" s="590"/>
      <c r="AE391" s="590"/>
      <c r="AF391" s="590"/>
      <c r="AG391" s="590"/>
      <c r="AH391" s="590"/>
      <c r="AI391" s="590"/>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1:76" x14ac:dyDescent="0.2">
      <c r="A392" s="115"/>
      <c r="B392" s="115"/>
      <c r="C392" s="115"/>
      <c r="D392" s="115"/>
      <c r="E392" s="115"/>
      <c r="F392" s="115"/>
      <c r="G392" s="115"/>
      <c r="H392" s="115"/>
      <c r="I392" s="115"/>
      <c r="J392" s="115"/>
      <c r="K392" s="115"/>
      <c r="L392" s="115"/>
      <c r="M392" s="671"/>
      <c r="N392" s="671"/>
      <c r="O392" s="671"/>
      <c r="P392" s="671"/>
      <c r="Q392" s="671"/>
      <c r="R392" s="671"/>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1:76" x14ac:dyDescent="0.2">
      <c r="A393" s="115"/>
      <c r="B393" s="115"/>
      <c r="C393" s="769"/>
      <c r="D393" s="115"/>
      <c r="E393" s="115"/>
      <c r="F393" s="115"/>
      <c r="G393" s="115"/>
      <c r="H393" s="115"/>
      <c r="I393" s="115"/>
      <c r="J393" s="115"/>
      <c r="K393" s="115"/>
      <c r="L393" s="115"/>
      <c r="M393" s="671"/>
      <c r="N393" s="671"/>
      <c r="O393" s="671"/>
      <c r="P393" s="671"/>
      <c r="Q393" s="671"/>
      <c r="R393" s="671"/>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1:76" x14ac:dyDescent="0.2">
      <c r="A394" s="115"/>
      <c r="B394" s="115"/>
      <c r="C394" s="590"/>
      <c r="D394" s="590"/>
      <c r="E394" s="590"/>
      <c r="F394" s="590"/>
      <c r="G394" s="590"/>
      <c r="H394" s="590"/>
      <c r="I394" s="590"/>
      <c r="J394" s="590"/>
      <c r="K394" s="590"/>
      <c r="L394" s="590"/>
      <c r="M394" s="768"/>
      <c r="N394" s="671"/>
      <c r="O394" s="671"/>
      <c r="P394" s="671"/>
      <c r="Q394" s="671"/>
      <c r="R394" s="671"/>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1:76" x14ac:dyDescent="0.2">
      <c r="A395" s="115"/>
      <c r="B395" s="115"/>
      <c r="C395" s="115" t="s">
        <v>2997</v>
      </c>
      <c r="D395" s="590" t="s">
        <v>2539</v>
      </c>
      <c r="E395" s="590" t="s">
        <v>2989</v>
      </c>
      <c r="F395" s="590" t="s">
        <v>2992</v>
      </c>
      <c r="G395" s="590" t="s">
        <v>3110</v>
      </c>
      <c r="H395" s="590" t="s">
        <v>2985</v>
      </c>
      <c r="I395" s="590" t="s">
        <v>2995</v>
      </c>
      <c r="J395" s="590" t="s">
        <v>3096</v>
      </c>
      <c r="K395" s="590" t="s">
        <v>2999</v>
      </c>
      <c r="L395" s="590" t="s">
        <v>2991</v>
      </c>
      <c r="M395" s="671"/>
      <c r="N395" s="671"/>
      <c r="O395" s="671"/>
      <c r="P395" s="671"/>
      <c r="Q395" s="768"/>
      <c r="R395" s="768"/>
      <c r="S395" s="590"/>
      <c r="T395" s="590"/>
      <c r="U395" s="590"/>
      <c r="V395" s="590"/>
      <c r="W395" s="590"/>
      <c r="X395" s="590"/>
      <c r="Y395" s="590"/>
      <c r="Z395" s="590"/>
      <c r="AA395" s="590"/>
      <c r="AB395" s="590"/>
      <c r="AC395" s="590"/>
      <c r="AD395" s="590"/>
      <c r="AE395" s="590"/>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1:76" x14ac:dyDescent="0.2">
      <c r="A396" s="115" t="s">
        <v>3003</v>
      </c>
      <c r="B396" s="115" t="s">
        <v>2495</v>
      </c>
      <c r="C396" s="671">
        <v>2008</v>
      </c>
      <c r="D396" s="115" t="s">
        <v>3083</v>
      </c>
      <c r="E396" s="115" t="s">
        <v>3223</v>
      </c>
      <c r="F396" s="115" t="s">
        <v>2798</v>
      </c>
      <c r="G396" s="115" t="s">
        <v>3225</v>
      </c>
      <c r="H396" s="115" t="s">
        <v>3847</v>
      </c>
      <c r="I396" s="115" t="s">
        <v>3226</v>
      </c>
      <c r="J396" s="115" t="s">
        <v>3227</v>
      </c>
      <c r="K396" s="115" t="s">
        <v>3278</v>
      </c>
      <c r="L396" s="115" t="s">
        <v>3848</v>
      </c>
      <c r="M396" s="671"/>
      <c r="N396" s="671"/>
      <c r="O396" s="671"/>
      <c r="P396" s="671"/>
      <c r="Q396" s="671"/>
      <c r="R396" s="671"/>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1:76" x14ac:dyDescent="0.2">
      <c r="A397" s="115" t="s">
        <v>3003</v>
      </c>
      <c r="B397" s="115" t="s">
        <v>2749</v>
      </c>
      <c r="C397" s="768" t="s">
        <v>2949</v>
      </c>
      <c r="D397" s="590" t="s">
        <v>3084</v>
      </c>
      <c r="E397" s="590" t="s">
        <v>3279</v>
      </c>
      <c r="F397" s="590" t="s">
        <v>3270</v>
      </c>
      <c r="G397" s="590" t="s">
        <v>2821</v>
      </c>
      <c r="H397" s="590" t="s">
        <v>3850</v>
      </c>
      <c r="I397" s="590" t="s">
        <v>3770</v>
      </c>
      <c r="J397" s="590" t="s">
        <v>2952</v>
      </c>
      <c r="K397" s="590" t="s">
        <v>2920</v>
      </c>
      <c r="L397" s="590" t="s">
        <v>4041</v>
      </c>
      <c r="M397" s="671"/>
      <c r="N397" s="671"/>
      <c r="O397" s="671"/>
      <c r="P397" s="671"/>
      <c r="Q397" s="671"/>
      <c r="R397" s="671"/>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1:76" x14ac:dyDescent="0.2">
      <c r="A398" s="115"/>
      <c r="B398" s="115"/>
      <c r="C398" s="671"/>
      <c r="D398" s="115"/>
      <c r="E398" s="115" t="s">
        <v>3139</v>
      </c>
      <c r="F398" s="115"/>
      <c r="G398" s="115"/>
      <c r="H398" s="115" t="s">
        <v>3851</v>
      </c>
      <c r="I398" s="115"/>
      <c r="J398" s="115"/>
      <c r="K398" s="115"/>
      <c r="L398" s="115"/>
      <c r="M398" s="671"/>
      <c r="N398" s="671"/>
      <c r="O398" s="671"/>
      <c r="P398" s="671"/>
      <c r="Q398" s="671"/>
      <c r="R398" s="671"/>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1:76" x14ac:dyDescent="0.2">
      <c r="A399" s="115" t="s">
        <v>3003</v>
      </c>
      <c r="B399" s="115" t="s">
        <v>2756</v>
      </c>
      <c r="C399" s="671" t="s">
        <v>4042</v>
      </c>
      <c r="D399" s="115" t="s">
        <v>4043</v>
      </c>
      <c r="E399" s="115" t="s">
        <v>4044</v>
      </c>
      <c r="F399" s="115" t="s">
        <v>4045</v>
      </c>
      <c r="G399" s="115" t="s">
        <v>4046</v>
      </c>
      <c r="H399" s="115" t="s">
        <v>4047</v>
      </c>
      <c r="I399" s="115" t="s">
        <v>4048</v>
      </c>
      <c r="J399" s="115" t="s">
        <v>4049</v>
      </c>
      <c r="K399" s="115" t="s">
        <v>4050</v>
      </c>
      <c r="L399" s="115" t="s">
        <v>4051</v>
      </c>
      <c r="M399" s="671"/>
      <c r="N399" s="671"/>
      <c r="O399" s="671"/>
      <c r="P399" s="671"/>
      <c r="Q399" s="671"/>
      <c r="R399" s="671"/>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1:76" x14ac:dyDescent="0.2">
      <c r="A400" s="115"/>
      <c r="B400" s="115" t="s">
        <v>2757</v>
      </c>
      <c r="C400" s="768"/>
      <c r="D400" s="115"/>
      <c r="E400" s="115"/>
      <c r="F400" s="115"/>
      <c r="G400" s="115"/>
      <c r="H400" s="115"/>
      <c r="I400" s="115"/>
      <c r="J400" s="115"/>
      <c r="K400" s="115"/>
      <c r="L400" s="115"/>
      <c r="M400" s="671"/>
      <c r="N400" s="671"/>
      <c r="O400" s="671"/>
      <c r="P400" s="671"/>
      <c r="Q400" s="671"/>
      <c r="R400" s="671"/>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1:76" x14ac:dyDescent="0.2">
      <c r="A401" s="115"/>
      <c r="B401" s="115" t="s">
        <v>2758</v>
      </c>
      <c r="C401" s="671"/>
      <c r="D401" s="115"/>
      <c r="E401" s="115"/>
      <c r="F401" s="115"/>
      <c r="G401" s="115"/>
      <c r="H401" s="115"/>
      <c r="I401" s="115"/>
      <c r="J401" s="115"/>
      <c r="K401" s="115"/>
      <c r="L401" s="115"/>
      <c r="M401" s="768"/>
      <c r="N401" s="768"/>
      <c r="O401" s="768"/>
      <c r="P401" s="768"/>
      <c r="Q401" s="768"/>
      <c r="R401" s="768"/>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1:76" x14ac:dyDescent="0.2">
      <c r="A402" s="115" t="s">
        <v>3003</v>
      </c>
      <c r="B402" s="115" t="s">
        <v>3038</v>
      </c>
      <c r="C402" s="671">
        <v>4.5</v>
      </c>
      <c r="D402" s="115">
        <v>4.7</v>
      </c>
      <c r="E402" s="115">
        <v>4.7</v>
      </c>
      <c r="F402" s="115">
        <v>4.7</v>
      </c>
      <c r="G402" s="115">
        <v>4.8</v>
      </c>
      <c r="H402" s="115">
        <v>4.8</v>
      </c>
      <c r="I402" s="115">
        <v>4.9000000000000004</v>
      </c>
      <c r="J402" s="115">
        <v>5</v>
      </c>
      <c r="K402" s="115">
        <v>4.9000000000000004</v>
      </c>
      <c r="L402" s="115">
        <v>5</v>
      </c>
      <c r="M402" s="671"/>
      <c r="N402" s="671"/>
      <c r="O402" s="671"/>
      <c r="P402" s="671"/>
      <c r="Q402" s="671"/>
      <c r="R402" s="671"/>
      <c r="S402" s="671"/>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1:76" x14ac:dyDescent="0.2">
      <c r="A403" s="115"/>
      <c r="B403" s="115" t="s">
        <v>3039</v>
      </c>
      <c r="C403" s="671"/>
      <c r="D403" s="671"/>
      <c r="E403" s="671"/>
      <c r="F403" s="671"/>
      <c r="G403" s="671"/>
      <c r="H403" s="671"/>
      <c r="I403" s="671"/>
      <c r="J403" s="671"/>
      <c r="K403" s="671"/>
      <c r="L403" s="671"/>
      <c r="M403" s="768"/>
      <c r="N403" s="768"/>
      <c r="O403" s="671"/>
      <c r="P403" s="671"/>
      <c r="Q403" s="671"/>
      <c r="R403" s="671"/>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1:76" x14ac:dyDescent="0.2">
      <c r="A404" s="115" t="s">
        <v>3003</v>
      </c>
      <c r="B404" s="115" t="s">
        <v>2759</v>
      </c>
      <c r="C404" s="671">
        <v>118</v>
      </c>
      <c r="D404" s="671">
        <v>123</v>
      </c>
      <c r="E404" s="671">
        <v>123</v>
      </c>
      <c r="F404" s="671">
        <v>123</v>
      </c>
      <c r="G404" s="671">
        <v>125</v>
      </c>
      <c r="H404" s="671">
        <v>126</v>
      </c>
      <c r="I404" s="671">
        <v>129</v>
      </c>
      <c r="J404" s="671">
        <v>129</v>
      </c>
      <c r="K404" s="671">
        <v>129</v>
      </c>
      <c r="L404" s="671">
        <v>131</v>
      </c>
      <c r="M404" s="768"/>
      <c r="N404" s="768"/>
      <c r="O404" s="671"/>
      <c r="P404" s="671"/>
      <c r="Q404" s="671"/>
      <c r="R404" s="671"/>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1:76" x14ac:dyDescent="0.2">
      <c r="A405" s="115"/>
      <c r="B405" s="115" t="s">
        <v>2505</v>
      </c>
      <c r="C405" s="671"/>
      <c r="D405" s="671"/>
      <c r="E405" s="671"/>
      <c r="F405" s="671"/>
      <c r="G405" s="671"/>
      <c r="H405" s="671"/>
      <c r="I405" s="671"/>
      <c r="J405" s="671"/>
      <c r="K405" s="671"/>
      <c r="L405" s="671"/>
      <c r="M405" s="768"/>
      <c r="N405" s="768"/>
      <c r="O405" s="671"/>
      <c r="P405" s="671"/>
      <c r="Q405" s="671"/>
      <c r="R405" s="671"/>
      <c r="S405" s="115"/>
      <c r="T405" s="590"/>
      <c r="U405" s="590"/>
      <c r="V405" s="590"/>
      <c r="W405" s="590"/>
      <c r="X405" s="590"/>
      <c r="Y405" s="590"/>
      <c r="Z405" s="590"/>
      <c r="AA405" s="590"/>
      <c r="AB405" s="590"/>
      <c r="AC405" s="590"/>
      <c r="AD405" s="590"/>
      <c r="AE405" s="590"/>
      <c r="AF405" s="590"/>
      <c r="AG405" s="590"/>
      <c r="AH405" s="590"/>
      <c r="AI405" s="590"/>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1:76" x14ac:dyDescent="0.2">
      <c r="A406" s="115" t="s">
        <v>3003</v>
      </c>
      <c r="B406" s="115" t="s">
        <v>2760</v>
      </c>
      <c r="C406" s="770" t="s">
        <v>3140</v>
      </c>
      <c r="D406" s="671" t="s">
        <v>3616</v>
      </c>
      <c r="E406" s="671" t="s">
        <v>3140</v>
      </c>
      <c r="F406" s="671" t="s">
        <v>3140</v>
      </c>
      <c r="G406" s="671" t="s">
        <v>3140</v>
      </c>
      <c r="H406" s="671" t="s">
        <v>3573</v>
      </c>
      <c r="I406" s="671" t="s">
        <v>3573</v>
      </c>
      <c r="J406" s="671" t="s">
        <v>3572</v>
      </c>
      <c r="K406" s="671" t="s">
        <v>3140</v>
      </c>
      <c r="L406" s="671" t="s">
        <v>3573</v>
      </c>
      <c r="M406" s="768"/>
      <c r="N406" s="768"/>
      <c r="O406" s="671"/>
      <c r="P406" s="671"/>
      <c r="Q406" s="671"/>
      <c r="R406" s="671"/>
      <c r="S406" s="115"/>
      <c r="T406" s="590"/>
      <c r="U406" s="590"/>
      <c r="V406" s="590"/>
      <c r="W406" s="590"/>
      <c r="X406" s="590"/>
      <c r="Y406" s="590"/>
      <c r="Z406" s="590"/>
      <c r="AA406" s="590"/>
      <c r="AB406" s="590"/>
      <c r="AC406" s="590"/>
      <c r="AD406" s="590"/>
      <c r="AE406" s="590"/>
      <c r="AF406" s="590"/>
      <c r="AG406" s="590"/>
      <c r="AH406" s="590"/>
      <c r="AI406" s="590"/>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1:76" x14ac:dyDescent="0.2">
      <c r="A407" s="115" t="s">
        <v>3003</v>
      </c>
      <c r="B407" s="115" t="s">
        <v>2705</v>
      </c>
      <c r="C407" s="768">
        <v>5</v>
      </c>
      <c r="D407" s="768">
        <v>5</v>
      </c>
      <c r="E407" s="768">
        <v>5</v>
      </c>
      <c r="F407" s="768">
        <v>5</v>
      </c>
      <c r="G407" s="768">
        <v>5</v>
      </c>
      <c r="H407" s="768">
        <v>5</v>
      </c>
      <c r="I407" s="768">
        <v>5</v>
      </c>
      <c r="J407" s="768">
        <v>5</v>
      </c>
      <c r="K407" s="768">
        <v>5</v>
      </c>
      <c r="L407" s="768">
        <v>5</v>
      </c>
      <c r="M407" s="671"/>
      <c r="N407" s="671"/>
      <c r="O407" s="671"/>
      <c r="P407" s="671"/>
      <c r="Q407" s="671"/>
      <c r="R407" s="671"/>
      <c r="S407" s="115"/>
      <c r="T407" s="590"/>
      <c r="U407" s="590"/>
      <c r="V407" s="590"/>
      <c r="W407" s="590"/>
      <c r="X407" s="590"/>
      <c r="Y407" s="590"/>
      <c r="Z407" s="590"/>
      <c r="AA407" s="590"/>
      <c r="AB407" s="590"/>
      <c r="AC407" s="590"/>
      <c r="AD407" s="590"/>
      <c r="AE407" s="590"/>
      <c r="AF407" s="590"/>
      <c r="AG407" s="590"/>
      <c r="AH407" s="590"/>
      <c r="AI407" s="590"/>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1:76" x14ac:dyDescent="0.2">
      <c r="A408" s="115" t="s">
        <v>3003</v>
      </c>
      <c r="B408" s="115" t="s">
        <v>2496</v>
      </c>
      <c r="C408" s="768">
        <v>75</v>
      </c>
      <c r="D408" s="768">
        <v>85</v>
      </c>
      <c r="E408" s="768">
        <v>75</v>
      </c>
      <c r="F408" s="768">
        <v>85</v>
      </c>
      <c r="G408" s="768">
        <v>70</v>
      </c>
      <c r="H408" s="768">
        <v>70</v>
      </c>
      <c r="I408" s="768">
        <v>74</v>
      </c>
      <c r="J408" s="768">
        <v>85</v>
      </c>
      <c r="K408" s="768">
        <v>85</v>
      </c>
      <c r="L408" s="768">
        <v>85</v>
      </c>
      <c r="M408" s="768"/>
      <c r="N408" s="671"/>
      <c r="O408" s="671"/>
      <c r="P408" s="671"/>
      <c r="Q408" s="671"/>
      <c r="R408" s="671"/>
      <c r="S408" s="115"/>
      <c r="T408" s="590"/>
      <c r="U408" s="590"/>
      <c r="V408" s="590"/>
      <c r="W408" s="590"/>
      <c r="X408" s="590"/>
      <c r="Y408" s="590"/>
      <c r="Z408" s="590"/>
      <c r="AA408" s="590"/>
      <c r="AB408" s="590"/>
      <c r="AC408" s="590"/>
      <c r="AD408" s="590"/>
      <c r="AE408" s="590"/>
      <c r="AF408" s="590"/>
      <c r="AG408" s="590"/>
      <c r="AH408" s="590"/>
      <c r="AI408" s="590"/>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1:76" x14ac:dyDescent="0.2">
      <c r="A409" s="115"/>
      <c r="B409" s="115" t="s">
        <v>2501</v>
      </c>
      <c r="C409" s="768"/>
      <c r="D409" s="768"/>
      <c r="E409" s="768"/>
      <c r="F409" s="768"/>
      <c r="G409" s="768"/>
      <c r="H409" s="768"/>
      <c r="I409" s="768"/>
      <c r="J409" s="768"/>
      <c r="K409" s="768"/>
      <c r="L409" s="768"/>
      <c r="M409" s="768"/>
      <c r="N409" s="671"/>
      <c r="O409" s="671"/>
      <c r="P409" s="671"/>
      <c r="Q409" s="768"/>
      <c r="R409" s="768"/>
      <c r="S409" s="590"/>
      <c r="T409" s="590"/>
      <c r="U409" s="590"/>
      <c r="V409" s="590"/>
      <c r="W409" s="590"/>
      <c r="X409" s="590"/>
      <c r="Y409" s="590"/>
      <c r="Z409" s="590"/>
      <c r="AA409" s="590"/>
      <c r="AB409" s="590"/>
      <c r="AC409" s="590"/>
      <c r="AD409" s="590"/>
      <c r="AE409" s="590"/>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1:76" x14ac:dyDescent="0.2">
      <c r="A410" s="115" t="s">
        <v>3003</v>
      </c>
      <c r="B410" s="115" t="s">
        <v>2496</v>
      </c>
      <c r="C410" s="768">
        <v>100</v>
      </c>
      <c r="D410" s="768">
        <v>116</v>
      </c>
      <c r="E410" s="768">
        <v>102</v>
      </c>
      <c r="F410" s="768">
        <v>115</v>
      </c>
      <c r="G410" s="768">
        <v>95</v>
      </c>
      <c r="H410" s="768">
        <v>95</v>
      </c>
      <c r="I410" s="768">
        <v>100</v>
      </c>
      <c r="J410" s="768">
        <v>116</v>
      </c>
      <c r="K410" s="768">
        <v>116</v>
      </c>
      <c r="L410" s="768">
        <v>115</v>
      </c>
      <c r="M410" s="768"/>
      <c r="N410" s="671"/>
      <c r="O410" s="671"/>
      <c r="P410" s="671"/>
      <c r="Q410" s="768"/>
      <c r="R410" s="768"/>
      <c r="S410" s="590"/>
      <c r="T410" s="590"/>
      <c r="U410" s="590"/>
      <c r="V410" s="590"/>
      <c r="W410" s="590"/>
      <c r="X410" s="590"/>
      <c r="Y410" s="590"/>
      <c r="Z410" s="590"/>
      <c r="AA410" s="590"/>
      <c r="AB410" s="590"/>
      <c r="AC410" s="590"/>
      <c r="AD410" s="590"/>
      <c r="AE410" s="590"/>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1:76" x14ac:dyDescent="0.2">
      <c r="A411" s="115"/>
      <c r="B411" s="115" t="s">
        <v>2557</v>
      </c>
      <c r="C411" s="768"/>
      <c r="D411" s="768"/>
      <c r="E411" s="768"/>
      <c r="F411" s="768"/>
      <c r="G411" s="768"/>
      <c r="H411" s="768"/>
      <c r="I411" s="768"/>
      <c r="J411" s="768"/>
      <c r="K411" s="768"/>
      <c r="L411" s="768"/>
      <c r="M411" s="768"/>
      <c r="N411" s="671"/>
      <c r="O411" s="671"/>
      <c r="P411" s="671"/>
      <c r="Q411" s="768"/>
      <c r="R411" s="768"/>
      <c r="S411" s="590"/>
      <c r="T411" s="590"/>
      <c r="U411" s="590"/>
      <c r="V411" s="590"/>
      <c r="W411" s="590"/>
      <c r="X411" s="590"/>
      <c r="Y411" s="590"/>
      <c r="Z411" s="590"/>
      <c r="AA411" s="590"/>
      <c r="AB411" s="590"/>
      <c r="AC411" s="590"/>
      <c r="AD411" s="590"/>
      <c r="AE411" s="590"/>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1:76" x14ac:dyDescent="0.2">
      <c r="A412" s="115" t="s">
        <v>3003</v>
      </c>
      <c r="B412" s="115" t="s">
        <v>2761</v>
      </c>
      <c r="C412" s="768" t="s">
        <v>2785</v>
      </c>
      <c r="D412" s="768" t="s">
        <v>2785</v>
      </c>
      <c r="E412" s="768" t="s">
        <v>2785</v>
      </c>
      <c r="F412" s="768" t="s">
        <v>2785</v>
      </c>
      <c r="G412" s="768" t="s">
        <v>2762</v>
      </c>
      <c r="H412" s="768" t="s">
        <v>2762</v>
      </c>
      <c r="I412" s="768" t="s">
        <v>2785</v>
      </c>
      <c r="J412" s="768" t="s">
        <v>2785</v>
      </c>
      <c r="K412" s="768" t="s">
        <v>2785</v>
      </c>
      <c r="L412" s="768" t="s">
        <v>2785</v>
      </c>
      <c r="M412" s="671"/>
      <c r="N412" s="671"/>
      <c r="O412" s="671"/>
      <c r="P412" s="671"/>
      <c r="Q412" s="768"/>
      <c r="R412" s="768"/>
      <c r="S412" s="590"/>
      <c r="T412" s="590"/>
      <c r="U412" s="590"/>
      <c r="V412" s="590"/>
      <c r="W412" s="590"/>
      <c r="X412" s="590"/>
      <c r="Y412" s="590"/>
      <c r="Z412" s="590"/>
      <c r="AA412" s="590"/>
      <c r="AB412" s="590"/>
      <c r="AC412" s="590"/>
      <c r="AD412" s="590"/>
      <c r="AE412" s="590"/>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1:76" x14ac:dyDescent="0.2">
      <c r="A413" s="115" t="s">
        <v>3003</v>
      </c>
      <c r="B413" s="115" t="s">
        <v>2711</v>
      </c>
      <c r="C413" s="768" t="s">
        <v>4054</v>
      </c>
      <c r="D413" s="768" t="s">
        <v>4055</v>
      </c>
      <c r="E413" s="768" t="s">
        <v>4056</v>
      </c>
      <c r="F413" s="768" t="s">
        <v>4057</v>
      </c>
      <c r="G413" s="768" t="s">
        <v>4058</v>
      </c>
      <c r="H413" s="768" t="s">
        <v>4059</v>
      </c>
      <c r="I413" s="768" t="s">
        <v>4060</v>
      </c>
      <c r="J413" s="768" t="s">
        <v>4061</v>
      </c>
      <c r="K413" s="768" t="s">
        <v>4062</v>
      </c>
      <c r="L413" s="768" t="s">
        <v>4063</v>
      </c>
      <c r="M413" s="671"/>
      <c r="N413" s="671"/>
      <c r="O413" s="671"/>
      <c r="P413" s="671"/>
      <c r="Q413" s="671"/>
      <c r="R413" s="671"/>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1:76" x14ac:dyDescent="0.2">
      <c r="A414" s="115" t="s">
        <v>3003</v>
      </c>
      <c r="B414" s="115" t="s">
        <v>3141</v>
      </c>
      <c r="C414" s="768" t="s">
        <v>4066</v>
      </c>
      <c r="D414" s="768" t="s">
        <v>4005</v>
      </c>
      <c r="E414" s="768" t="s">
        <v>4067</v>
      </c>
      <c r="F414" s="768" t="s">
        <v>4068</v>
      </c>
      <c r="G414" s="768" t="s">
        <v>4069</v>
      </c>
      <c r="H414" s="768" t="s">
        <v>4070</v>
      </c>
      <c r="I414" s="768" t="s">
        <v>4071</v>
      </c>
      <c r="J414" s="768" t="s">
        <v>4072</v>
      </c>
      <c r="K414" s="768" t="s">
        <v>4073</v>
      </c>
      <c r="L414" s="768" t="s">
        <v>3929</v>
      </c>
      <c r="M414" s="671"/>
      <c r="N414" s="671"/>
      <c r="O414" s="671"/>
      <c r="P414" s="671"/>
      <c r="Q414" s="671"/>
      <c r="R414" s="671"/>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1:76" x14ac:dyDescent="0.2">
      <c r="A415" s="115" t="s">
        <v>3003</v>
      </c>
      <c r="B415" s="115" t="s">
        <v>4076</v>
      </c>
      <c r="C415" s="768" t="s">
        <v>4077</v>
      </c>
      <c r="D415" s="671" t="s">
        <v>3949</v>
      </c>
      <c r="E415" s="671" t="s">
        <v>4078</v>
      </c>
      <c r="F415" s="671" t="s">
        <v>4079</v>
      </c>
      <c r="G415" s="671" t="s">
        <v>4080</v>
      </c>
      <c r="H415" s="671" t="s">
        <v>4081</v>
      </c>
      <c r="I415" s="671" t="s">
        <v>4082</v>
      </c>
      <c r="J415" s="671" t="s">
        <v>4083</v>
      </c>
      <c r="K415" s="671" t="s">
        <v>4084</v>
      </c>
      <c r="L415" s="671" t="s">
        <v>4085</v>
      </c>
      <c r="M415" s="768"/>
      <c r="N415" s="768"/>
      <c r="O415" s="768"/>
      <c r="P415" s="768"/>
      <c r="Q415" s="768"/>
      <c r="R415" s="768"/>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1:76" x14ac:dyDescent="0.2">
      <c r="A416" s="115" t="s">
        <v>3003</v>
      </c>
      <c r="B416" s="115" t="s">
        <v>3142</v>
      </c>
      <c r="C416" s="768" t="s">
        <v>3971</v>
      </c>
      <c r="D416" s="671" t="s">
        <v>4088</v>
      </c>
      <c r="E416" s="671" t="s">
        <v>4089</v>
      </c>
      <c r="F416" s="671" t="s">
        <v>4090</v>
      </c>
      <c r="G416" s="671" t="s">
        <v>4091</v>
      </c>
      <c r="H416" s="671" t="s">
        <v>4092</v>
      </c>
      <c r="I416" s="671" t="s">
        <v>4029</v>
      </c>
      <c r="J416" s="671" t="s">
        <v>4093</v>
      </c>
      <c r="K416" s="671" t="s">
        <v>4094</v>
      </c>
      <c r="L416" s="671" t="s">
        <v>4095</v>
      </c>
      <c r="M416" s="768"/>
      <c r="N416" s="768"/>
      <c r="O416" s="768"/>
      <c r="P416" s="768"/>
      <c r="Q416" s="768"/>
      <c r="R416" s="768"/>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1:76" x14ac:dyDescent="0.2">
      <c r="A417" s="115" t="s">
        <v>3003</v>
      </c>
      <c r="B417" s="115" t="s">
        <v>2765</v>
      </c>
      <c r="C417" s="768" t="s">
        <v>3284</v>
      </c>
      <c r="D417" s="671" t="s">
        <v>3281</v>
      </c>
      <c r="E417" s="671" t="s">
        <v>3857</v>
      </c>
      <c r="F417" s="671"/>
      <c r="G417" s="671"/>
      <c r="H417" s="671" t="s">
        <v>3850</v>
      </c>
      <c r="I417" s="671" t="s">
        <v>3262</v>
      </c>
      <c r="J417" s="671" t="s">
        <v>2952</v>
      </c>
      <c r="K417" s="671" t="s">
        <v>3861</v>
      </c>
      <c r="L417" s="671"/>
      <c r="M417" s="768"/>
      <c r="N417" s="768"/>
      <c r="O417" s="768"/>
      <c r="P417" s="768"/>
      <c r="Q417" s="768"/>
      <c r="R417" s="768"/>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1:76" x14ac:dyDescent="0.2">
      <c r="A418" s="115"/>
      <c r="B418" s="115" t="s">
        <v>3972</v>
      </c>
      <c r="C418" s="671" t="s">
        <v>3854</v>
      </c>
      <c r="D418" s="671" t="s">
        <v>3855</v>
      </c>
      <c r="E418" s="671" t="s">
        <v>3858</v>
      </c>
      <c r="F418" s="671"/>
      <c r="G418" s="671"/>
      <c r="H418" s="671" t="s">
        <v>3858</v>
      </c>
      <c r="I418" s="671" t="s">
        <v>3859</v>
      </c>
      <c r="J418" s="671" t="s">
        <v>3860</v>
      </c>
      <c r="K418" s="671" t="s">
        <v>3862</v>
      </c>
      <c r="L418" s="671"/>
      <c r="M418" s="768"/>
      <c r="N418" s="768"/>
      <c r="O418" s="768"/>
      <c r="P418" s="768"/>
      <c r="Q418" s="768"/>
      <c r="R418" s="768"/>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1:76" x14ac:dyDescent="0.2">
      <c r="A419" s="115"/>
      <c r="B419" s="115" t="s">
        <v>2767</v>
      </c>
      <c r="C419" s="671"/>
      <c r="D419" s="671" t="s">
        <v>3274</v>
      </c>
      <c r="E419" s="671"/>
      <c r="F419" s="671"/>
      <c r="G419" s="671"/>
      <c r="H419" s="671"/>
      <c r="I419" s="671"/>
      <c r="J419" s="671"/>
      <c r="K419" s="671" t="s">
        <v>3863</v>
      </c>
      <c r="L419" s="671"/>
      <c r="M419" s="671"/>
      <c r="N419" s="671"/>
      <c r="O419" s="671"/>
      <c r="P419" s="671"/>
      <c r="Q419" s="671"/>
      <c r="R419" s="671"/>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1:76" x14ac:dyDescent="0.2">
      <c r="A420" s="115"/>
      <c r="B420" s="115"/>
      <c r="C420" s="671"/>
      <c r="D420" s="671" t="s">
        <v>3856</v>
      </c>
      <c r="E420" s="671"/>
      <c r="F420" s="671"/>
      <c r="G420" s="671"/>
      <c r="H420" s="671"/>
      <c r="I420" s="671"/>
      <c r="J420" s="671"/>
      <c r="K420" s="671" t="s">
        <v>3864</v>
      </c>
      <c r="L420" s="671"/>
      <c r="M420" s="671"/>
      <c r="N420" s="671"/>
      <c r="O420" s="671"/>
      <c r="P420" s="671"/>
      <c r="Q420" s="671"/>
      <c r="R420" s="671"/>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1:76" x14ac:dyDescent="0.2">
      <c r="A421" s="115" t="s">
        <v>3003</v>
      </c>
      <c r="B421" s="115" t="s">
        <v>2775</v>
      </c>
      <c r="C421" s="768" t="s">
        <v>3249</v>
      </c>
      <c r="D421" s="768"/>
      <c r="E421" s="768" t="s">
        <v>3259</v>
      </c>
      <c r="F421" s="768" t="s">
        <v>2717</v>
      </c>
      <c r="G421" s="768" t="s">
        <v>3254</v>
      </c>
      <c r="H421" s="768" t="s">
        <v>3869</v>
      </c>
      <c r="I421" s="768" t="s">
        <v>3870</v>
      </c>
      <c r="J421" s="768" t="s">
        <v>3730</v>
      </c>
      <c r="K421" s="768" t="s">
        <v>2927</v>
      </c>
      <c r="L421" s="768" t="s">
        <v>2794</v>
      </c>
      <c r="M421" s="671"/>
      <c r="N421" s="671"/>
      <c r="O421" s="671"/>
      <c r="P421" s="671"/>
      <c r="Q421" s="671"/>
      <c r="R421" s="671"/>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1:76" x14ac:dyDescent="0.2">
      <c r="A422" s="115"/>
      <c r="B422" s="115"/>
      <c r="C422" s="671" t="s">
        <v>3218</v>
      </c>
      <c r="D422" s="768"/>
      <c r="E422" s="768"/>
      <c r="F422" s="768" t="s">
        <v>3868</v>
      </c>
      <c r="G422" s="768" t="s">
        <v>3255</v>
      </c>
      <c r="H422" s="768"/>
      <c r="I422" s="768" t="s">
        <v>3796</v>
      </c>
      <c r="J422" s="768"/>
      <c r="K422" s="768"/>
      <c r="L422" s="768" t="s">
        <v>3155</v>
      </c>
      <c r="M422" s="671"/>
      <c r="N422" s="671"/>
      <c r="O422" s="671"/>
      <c r="P422" s="671"/>
      <c r="Q422" s="671"/>
      <c r="R422" s="671"/>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1:76" x14ac:dyDescent="0.2">
      <c r="A423" s="115" t="s">
        <v>2712</v>
      </c>
      <c r="B423" s="115"/>
      <c r="C423" s="768" t="s">
        <v>3282</v>
      </c>
      <c r="D423" s="768" t="s">
        <v>3282</v>
      </c>
      <c r="E423" s="768"/>
      <c r="F423" s="768" t="s">
        <v>3282</v>
      </c>
      <c r="G423" s="768"/>
      <c r="H423" s="768" t="s">
        <v>3282</v>
      </c>
      <c r="I423" s="768" t="s">
        <v>3072</v>
      </c>
      <c r="J423" s="768"/>
      <c r="K423" s="768" t="s">
        <v>3282</v>
      </c>
      <c r="L423" s="768"/>
      <c r="M423" s="671"/>
      <c r="N423" s="671"/>
      <c r="O423" s="671"/>
      <c r="P423" s="671"/>
      <c r="Q423" s="671"/>
      <c r="R423" s="671"/>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1:76" x14ac:dyDescent="0.2">
      <c r="A424" s="115"/>
      <c r="B424" s="115"/>
      <c r="C424" s="671" t="s">
        <v>3234</v>
      </c>
      <c r="D424" s="671" t="s">
        <v>3234</v>
      </c>
      <c r="E424" s="671"/>
      <c r="F424" s="671" t="s">
        <v>3234</v>
      </c>
      <c r="G424" s="671"/>
      <c r="H424" s="671" t="s">
        <v>3234</v>
      </c>
      <c r="I424" s="671" t="s">
        <v>3234</v>
      </c>
      <c r="J424" s="671"/>
      <c r="K424" s="768" t="s">
        <v>3234</v>
      </c>
      <c r="L424" s="671"/>
      <c r="M424" s="671"/>
      <c r="N424" s="671"/>
      <c r="O424" s="671"/>
      <c r="P424" s="671"/>
      <c r="Q424" s="671"/>
      <c r="R424" s="671"/>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1:76" x14ac:dyDescent="0.2">
      <c r="A425" s="115"/>
      <c r="B425" s="115"/>
      <c r="C425" s="671"/>
      <c r="D425" s="671"/>
      <c r="E425" s="671"/>
      <c r="F425" s="671"/>
      <c r="G425" s="671"/>
      <c r="H425" s="671"/>
      <c r="I425" s="671"/>
      <c r="J425" s="671"/>
      <c r="K425" s="671"/>
      <c r="L425" s="671"/>
      <c r="M425" s="671"/>
      <c r="N425" s="671"/>
      <c r="O425" s="671"/>
      <c r="P425" s="671"/>
      <c r="Q425" s="671"/>
      <c r="R425" s="671"/>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1:76" x14ac:dyDescent="0.2">
      <c r="A426" s="115"/>
      <c r="B426" s="115"/>
      <c r="C426" s="768"/>
      <c r="D426" s="768"/>
      <c r="E426" s="768"/>
      <c r="F426" s="768"/>
      <c r="G426" s="768"/>
      <c r="H426" s="768"/>
      <c r="I426" s="768"/>
      <c r="J426" s="768"/>
      <c r="K426" s="768"/>
      <c r="L426" s="768"/>
      <c r="M426" s="671"/>
      <c r="N426" s="671"/>
      <c r="O426" s="671"/>
      <c r="P426" s="671"/>
      <c r="Q426" s="671"/>
      <c r="R426" s="671"/>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1:76" x14ac:dyDescent="0.2">
      <c r="A427" s="115"/>
      <c r="B427" s="115"/>
      <c r="C427" s="671"/>
      <c r="D427" s="671"/>
      <c r="E427" s="671"/>
      <c r="F427" s="671"/>
      <c r="G427" s="671"/>
      <c r="H427" s="671"/>
      <c r="I427" s="671"/>
      <c r="J427" s="671"/>
      <c r="K427" s="671"/>
      <c r="L427" s="671"/>
      <c r="M427" s="671"/>
      <c r="N427" s="671"/>
      <c r="O427" s="671"/>
      <c r="P427" s="671"/>
      <c r="Q427" s="671"/>
      <c r="R427" s="671"/>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1:76" x14ac:dyDescent="0.2">
      <c r="A428" s="115"/>
      <c r="B428" s="115"/>
      <c r="C428" s="671"/>
      <c r="D428" s="671"/>
      <c r="E428" s="671"/>
      <c r="F428" s="671"/>
      <c r="G428" s="671"/>
      <c r="H428" s="671"/>
      <c r="I428" s="671"/>
      <c r="J428" s="671"/>
      <c r="K428" s="671"/>
      <c r="L428" s="671"/>
      <c r="M428" s="671"/>
      <c r="N428" s="671"/>
      <c r="O428" s="671"/>
      <c r="P428" s="671"/>
      <c r="Q428" s="671"/>
      <c r="R428" s="671"/>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1:76" x14ac:dyDescent="0.2">
      <c r="A429" s="115"/>
      <c r="B429" s="115"/>
      <c r="C429" s="671"/>
      <c r="D429" s="671"/>
      <c r="E429" s="671"/>
      <c r="F429" s="671"/>
      <c r="G429" s="671"/>
      <c r="H429" s="671"/>
      <c r="I429" s="671"/>
      <c r="J429" s="671"/>
      <c r="K429" s="671"/>
      <c r="L429" s="671"/>
      <c r="M429" s="671"/>
      <c r="N429" s="671"/>
      <c r="O429" s="671"/>
      <c r="P429" s="671"/>
      <c r="Q429" s="671"/>
      <c r="R429" s="671"/>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1:76" x14ac:dyDescent="0.2">
      <c r="A430" s="115"/>
      <c r="B430" s="115"/>
      <c r="C430" s="671"/>
      <c r="D430" s="671"/>
      <c r="E430" s="671"/>
      <c r="F430" s="671"/>
      <c r="G430" s="671"/>
      <c r="H430" s="671"/>
      <c r="I430" s="671"/>
      <c r="J430" s="671"/>
      <c r="K430" s="671"/>
      <c r="L430" s="671"/>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1:76" x14ac:dyDescent="0.2">
      <c r="A431" s="115"/>
      <c r="B431" s="115"/>
      <c r="C431" s="768"/>
      <c r="D431" s="768"/>
      <c r="E431" s="768"/>
      <c r="F431" s="768"/>
      <c r="G431" s="768"/>
      <c r="H431" s="768"/>
      <c r="I431" s="768"/>
      <c r="J431" s="768"/>
      <c r="K431" s="768"/>
      <c r="L431" s="768"/>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1:76" x14ac:dyDescent="0.2">
      <c r="A432" s="115"/>
      <c r="B432" s="115"/>
      <c r="C432" s="671"/>
      <c r="D432" s="671"/>
      <c r="E432" s="671"/>
      <c r="F432" s="671"/>
      <c r="G432" s="671"/>
      <c r="H432" s="671"/>
      <c r="I432" s="671"/>
      <c r="J432" s="671"/>
      <c r="K432" s="671"/>
      <c r="L432" s="671"/>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1:76" x14ac:dyDescent="0.2">
      <c r="A433" s="115"/>
      <c r="B433" s="115"/>
      <c r="C433" s="671"/>
      <c r="D433" s="671"/>
      <c r="E433" s="671"/>
      <c r="F433" s="671"/>
      <c r="G433" s="671"/>
      <c r="H433" s="671"/>
      <c r="I433" s="671"/>
      <c r="J433" s="671"/>
      <c r="K433" s="671"/>
      <c r="L433" s="671"/>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1:76" x14ac:dyDescent="0.2">
      <c r="A434" s="115"/>
      <c r="B434" s="115"/>
      <c r="C434" s="671"/>
      <c r="D434" s="671"/>
      <c r="E434" s="671"/>
      <c r="F434" s="671"/>
      <c r="G434" s="671"/>
      <c r="H434" s="671"/>
      <c r="I434" s="671"/>
      <c r="J434" s="671"/>
      <c r="K434" s="671"/>
      <c r="L434" s="671"/>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1:76" x14ac:dyDescent="0.2">
      <c r="A435" s="115"/>
      <c r="B435" s="115"/>
      <c r="C435" s="671"/>
      <c r="D435" s="671"/>
      <c r="E435" s="671"/>
      <c r="F435" s="671"/>
      <c r="G435" s="671"/>
      <c r="H435" s="671"/>
      <c r="I435" s="671"/>
      <c r="J435" s="671"/>
      <c r="K435" s="671"/>
      <c r="L435" s="671"/>
      <c r="M435" s="671" t="s">
        <v>3140</v>
      </c>
      <c r="N435" s="671">
        <v>4</v>
      </c>
      <c r="O435" s="671">
        <v>53</v>
      </c>
      <c r="P435" s="671"/>
      <c r="Q435" s="671">
        <v>72</v>
      </c>
      <c r="R435" s="671"/>
      <c r="S435" s="671" t="s">
        <v>2762</v>
      </c>
      <c r="T435" s="768">
        <v>3475</v>
      </c>
      <c r="U435" s="768">
        <v>1884</v>
      </c>
      <c r="V435" s="768">
        <v>1460</v>
      </c>
      <c r="W435" s="671">
        <v>915</v>
      </c>
      <c r="X435" s="671"/>
      <c r="Y435" s="671"/>
      <c r="Z435" s="671"/>
      <c r="AA435" s="671" t="s">
        <v>3059</v>
      </c>
      <c r="AB435" s="671" t="s">
        <v>3591</v>
      </c>
      <c r="AC435" s="671"/>
      <c r="AD435" s="671" t="s">
        <v>2779</v>
      </c>
      <c r="AE435" s="671" t="s">
        <v>2780</v>
      </c>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1:76" x14ac:dyDescent="0.2">
      <c r="A436" s="115"/>
      <c r="B436" s="115"/>
      <c r="C436" s="671"/>
      <c r="D436" s="671"/>
      <c r="E436" s="671"/>
      <c r="F436" s="671"/>
      <c r="G436" s="671"/>
      <c r="H436" s="671"/>
      <c r="I436" s="671"/>
      <c r="J436" s="671"/>
      <c r="K436" s="671"/>
      <c r="L436" s="671"/>
      <c r="M436" s="671" t="s">
        <v>3140</v>
      </c>
      <c r="N436" s="671">
        <v>4</v>
      </c>
      <c r="O436" s="671">
        <v>53</v>
      </c>
      <c r="P436" s="671"/>
      <c r="Q436" s="671">
        <v>72</v>
      </c>
      <c r="R436" s="671"/>
      <c r="S436" s="671" t="s">
        <v>2762</v>
      </c>
      <c r="T436" s="768">
        <v>3466</v>
      </c>
      <c r="U436" s="768">
        <v>1884</v>
      </c>
      <c r="V436" s="768">
        <v>1460</v>
      </c>
      <c r="W436" s="671">
        <v>867</v>
      </c>
      <c r="X436" s="671"/>
      <c r="Y436" s="671"/>
      <c r="Z436" s="671"/>
      <c r="AA436" s="671" t="s">
        <v>3592</v>
      </c>
      <c r="AB436" s="671"/>
      <c r="AC436" s="671"/>
      <c r="AD436" s="671"/>
      <c r="AE436" s="671"/>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1:76" x14ac:dyDescent="0.2">
      <c r="A437" s="115"/>
      <c r="B437" s="115"/>
      <c r="C437" s="671"/>
      <c r="D437" s="671"/>
      <c r="E437" s="671"/>
      <c r="F437" s="671"/>
      <c r="G437" s="671"/>
      <c r="H437" s="671"/>
      <c r="I437" s="671"/>
      <c r="J437" s="671"/>
      <c r="K437" s="671"/>
      <c r="L437" s="671"/>
      <c r="M437" s="671" t="s">
        <v>3572</v>
      </c>
      <c r="N437" s="671">
        <v>4</v>
      </c>
      <c r="O437" s="671">
        <v>49</v>
      </c>
      <c r="P437" s="671"/>
      <c r="Q437" s="671">
        <v>67</v>
      </c>
      <c r="R437" s="671"/>
      <c r="S437" s="671" t="s">
        <v>2762</v>
      </c>
      <c r="T437" s="768">
        <v>3670</v>
      </c>
      <c r="U437" s="768">
        <v>1680</v>
      </c>
      <c r="V437" s="768">
        <v>1480</v>
      </c>
      <c r="W437" s="671">
        <v>924</v>
      </c>
      <c r="X437" s="671" t="s">
        <v>3574</v>
      </c>
      <c r="Y437" s="671"/>
      <c r="Z437" s="671"/>
      <c r="AA437" s="671" t="s">
        <v>3593</v>
      </c>
      <c r="AB437" s="671"/>
      <c r="AC437" s="671"/>
      <c r="AD437" s="671" t="s">
        <v>3606</v>
      </c>
      <c r="AE437" s="671" t="s">
        <v>2781</v>
      </c>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1:76" x14ac:dyDescent="0.2">
      <c r="A438" s="115"/>
      <c r="B438" s="115"/>
      <c r="C438" s="768"/>
      <c r="D438" s="768"/>
      <c r="E438" s="768"/>
      <c r="F438" s="768"/>
      <c r="G438" s="768"/>
      <c r="H438" s="768"/>
      <c r="I438" s="768"/>
      <c r="J438" s="768"/>
      <c r="K438" s="768"/>
      <c r="L438" s="768"/>
      <c r="M438" s="671" t="s">
        <v>3573</v>
      </c>
      <c r="N438" s="671">
        <v>4</v>
      </c>
      <c r="O438" s="671">
        <v>53</v>
      </c>
      <c r="P438" s="671"/>
      <c r="Q438" s="671">
        <v>72</v>
      </c>
      <c r="R438" s="671"/>
      <c r="S438" s="671" t="s">
        <v>2762</v>
      </c>
      <c r="T438" s="768">
        <v>3465</v>
      </c>
      <c r="U438" s="768">
        <v>1615</v>
      </c>
      <c r="V438" s="768">
        <v>1460</v>
      </c>
      <c r="W438" s="671">
        <v>840</v>
      </c>
      <c r="X438" s="671"/>
      <c r="Y438" s="671"/>
      <c r="Z438" s="671"/>
      <c r="AA438" s="671" t="s">
        <v>3146</v>
      </c>
      <c r="AB438" s="671" t="s">
        <v>3147</v>
      </c>
      <c r="AC438" s="671" t="s">
        <v>3148</v>
      </c>
      <c r="AD438" s="671"/>
      <c r="AE438" s="671"/>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1:76" x14ac:dyDescent="0.2">
      <c r="A439" s="115"/>
      <c r="B439" s="115"/>
      <c r="C439" s="115"/>
      <c r="D439" s="671"/>
      <c r="E439" s="671"/>
      <c r="F439" s="671"/>
      <c r="G439" s="671"/>
      <c r="H439" s="671"/>
      <c r="I439" s="671"/>
      <c r="J439" s="671"/>
      <c r="K439" s="671"/>
      <c r="L439" s="671"/>
      <c r="M439" s="671" t="s">
        <v>3140</v>
      </c>
      <c r="N439" s="671">
        <v>5</v>
      </c>
      <c r="O439" s="671">
        <v>52</v>
      </c>
      <c r="P439" s="671"/>
      <c r="Q439" s="671">
        <v>71</v>
      </c>
      <c r="R439" s="671"/>
      <c r="S439" s="671" t="s">
        <v>2762</v>
      </c>
      <c r="T439" s="768">
        <v>3795</v>
      </c>
      <c r="U439" s="768">
        <v>1665</v>
      </c>
      <c r="V439" s="768">
        <v>1505</v>
      </c>
      <c r="W439" s="671">
        <v>870</v>
      </c>
      <c r="X439" s="671" t="s">
        <v>2914</v>
      </c>
      <c r="Y439" s="671" t="s">
        <v>3575</v>
      </c>
      <c r="Z439" s="671"/>
      <c r="AA439" s="671" t="s">
        <v>3152</v>
      </c>
      <c r="AB439" s="671" t="s">
        <v>3153</v>
      </c>
      <c r="AC439" s="671"/>
      <c r="AD439" s="671"/>
      <c r="AE439" s="671"/>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1:76" x14ac:dyDescent="0.2">
      <c r="A440" s="115"/>
      <c r="B440" s="115"/>
      <c r="C440" s="768"/>
      <c r="D440" s="768"/>
      <c r="E440" s="768"/>
      <c r="F440" s="768"/>
      <c r="G440" s="768"/>
      <c r="H440" s="768"/>
      <c r="I440" s="768"/>
      <c r="J440" s="768"/>
      <c r="K440" s="768"/>
      <c r="L440" s="768"/>
      <c r="M440" s="671" t="s">
        <v>3572</v>
      </c>
      <c r="N440" s="671">
        <v>5</v>
      </c>
      <c r="O440" s="671">
        <v>66</v>
      </c>
      <c r="P440" s="671"/>
      <c r="Q440" s="671">
        <v>90</v>
      </c>
      <c r="R440" s="671"/>
      <c r="S440" s="671" t="s">
        <v>2762</v>
      </c>
      <c r="T440" s="768">
        <v>3840</v>
      </c>
      <c r="U440" s="768">
        <v>1735</v>
      </c>
      <c r="V440" s="768">
        <v>1480</v>
      </c>
      <c r="W440" s="671">
        <v>857</v>
      </c>
      <c r="X440" s="671"/>
      <c r="Y440" s="671"/>
      <c r="Z440" s="671"/>
      <c r="AA440" s="671" t="s">
        <v>3156</v>
      </c>
      <c r="AB440" s="671"/>
      <c r="AC440" s="671"/>
      <c r="AD440" s="671"/>
      <c r="AE440" s="671"/>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1:76" x14ac:dyDescent="0.2">
      <c r="A441" s="115"/>
      <c r="B441" s="115"/>
      <c r="C441" s="768"/>
      <c r="D441" s="768"/>
      <c r="E441" s="768"/>
      <c r="F441" s="768"/>
      <c r="G441" s="768"/>
      <c r="H441" s="768"/>
      <c r="I441" s="768"/>
      <c r="J441" s="768"/>
      <c r="K441" s="768"/>
      <c r="L441" s="768"/>
      <c r="M441" s="671" t="s">
        <v>3572</v>
      </c>
      <c r="N441" s="671">
        <v>4</v>
      </c>
      <c r="O441" s="671">
        <v>49</v>
      </c>
      <c r="P441" s="671"/>
      <c r="Q441" s="671">
        <v>67</v>
      </c>
      <c r="R441" s="671"/>
      <c r="S441" s="671" t="s">
        <v>2762</v>
      </c>
      <c r="T441" s="768">
        <v>3595</v>
      </c>
      <c r="U441" s="768">
        <v>1595</v>
      </c>
      <c r="V441" s="768">
        <v>1485</v>
      </c>
      <c r="W441" s="671">
        <v>588</v>
      </c>
      <c r="X441" s="671" t="s">
        <v>3576</v>
      </c>
      <c r="Y441" s="671" t="s">
        <v>3577</v>
      </c>
      <c r="Z441" s="671"/>
      <c r="AA441" s="671" t="s">
        <v>3594</v>
      </c>
      <c r="AB441" s="671" t="s">
        <v>3595</v>
      </c>
      <c r="AC441" s="671"/>
      <c r="AD441" s="671" t="s">
        <v>3606</v>
      </c>
      <c r="AE441" s="671" t="s">
        <v>2781</v>
      </c>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1:76" x14ac:dyDescent="0.2">
      <c r="A442" s="115"/>
      <c r="B442" s="115"/>
      <c r="C442" s="768"/>
      <c r="D442" s="768"/>
      <c r="E442" s="768"/>
      <c r="F442" s="768"/>
      <c r="G442" s="768"/>
      <c r="H442" s="768"/>
      <c r="I442" s="768"/>
      <c r="J442" s="768"/>
      <c r="K442" s="768"/>
      <c r="L442" s="768"/>
      <c r="M442" s="671" t="s">
        <v>3572</v>
      </c>
      <c r="N442" s="671">
        <v>4</v>
      </c>
      <c r="O442" s="671">
        <v>54</v>
      </c>
      <c r="P442" s="671"/>
      <c r="Q442" s="671">
        <v>74</v>
      </c>
      <c r="R442" s="671"/>
      <c r="S442" s="671" t="s">
        <v>2762</v>
      </c>
      <c r="T442" s="768">
        <v>3615</v>
      </c>
      <c r="U442" s="768">
        <v>1646</v>
      </c>
      <c r="V442" s="768">
        <v>1541</v>
      </c>
      <c r="W442" s="671">
        <v>981</v>
      </c>
      <c r="X442" s="671" t="s">
        <v>3578</v>
      </c>
      <c r="Y442" s="671" t="s">
        <v>3579</v>
      </c>
      <c r="Z442" s="671"/>
      <c r="AA442" s="671" t="s">
        <v>3596</v>
      </c>
      <c r="AB442" s="671"/>
      <c r="AC442" s="671"/>
      <c r="AD442" s="671"/>
      <c r="AE442" s="671"/>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1:76" x14ac:dyDescent="0.2">
      <c r="A443" s="115"/>
      <c r="B443" s="115"/>
      <c r="C443" s="768"/>
      <c r="D443" s="768"/>
      <c r="E443" s="768"/>
      <c r="F443" s="768"/>
      <c r="G443" s="768"/>
      <c r="H443" s="768"/>
      <c r="I443" s="768"/>
      <c r="J443" s="768"/>
      <c r="K443" s="768"/>
      <c r="L443" s="768"/>
      <c r="M443" s="671" t="s">
        <v>3573</v>
      </c>
      <c r="N443" s="671">
        <v>5</v>
      </c>
      <c r="O443" s="671">
        <v>70</v>
      </c>
      <c r="P443" s="671"/>
      <c r="Q443" s="671">
        <v>95</v>
      </c>
      <c r="R443" s="671"/>
      <c r="S443" s="671" t="s">
        <v>2762</v>
      </c>
      <c r="T443" s="768">
        <v>3997</v>
      </c>
      <c r="U443" s="768">
        <v>1958</v>
      </c>
      <c r="V443" s="768">
        <v>1467</v>
      </c>
      <c r="W443" s="768">
        <v>1116</v>
      </c>
      <c r="X443" s="671" t="s">
        <v>2753</v>
      </c>
      <c r="Y443" s="671" t="s">
        <v>3580</v>
      </c>
      <c r="Z443" s="671"/>
      <c r="AA443" s="671" t="s">
        <v>2788</v>
      </c>
      <c r="AB443" s="671" t="s">
        <v>3155</v>
      </c>
      <c r="AC443" s="671"/>
      <c r="AD443" s="671" t="s">
        <v>3079</v>
      </c>
      <c r="AE443" s="671" t="s">
        <v>3080</v>
      </c>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1:76" x14ac:dyDescent="0.2">
      <c r="A444" s="115"/>
      <c r="B444" s="115"/>
      <c r="C444" s="671"/>
      <c r="D444" s="671"/>
      <c r="E444" s="671"/>
      <c r="F444" s="671"/>
      <c r="G444" s="671"/>
      <c r="H444" s="671"/>
      <c r="I444" s="671"/>
      <c r="J444" s="671"/>
      <c r="K444" s="671"/>
      <c r="L444" s="671"/>
      <c r="M444" s="671" t="s">
        <v>3573</v>
      </c>
      <c r="N444" s="671">
        <v>5</v>
      </c>
      <c r="O444" s="671">
        <v>44</v>
      </c>
      <c r="P444" s="671"/>
      <c r="Q444" s="671">
        <v>60</v>
      </c>
      <c r="R444" s="671"/>
      <c r="S444" s="671" t="s">
        <v>2762</v>
      </c>
      <c r="T444" s="768">
        <v>3600</v>
      </c>
      <c r="U444" s="768">
        <v>1910</v>
      </c>
      <c r="V444" s="768">
        <v>1504</v>
      </c>
      <c r="W444" s="671">
        <v>980</v>
      </c>
      <c r="X444" s="671" t="s">
        <v>3138</v>
      </c>
      <c r="Y444" s="671" t="s">
        <v>3581</v>
      </c>
      <c r="Z444" s="671"/>
      <c r="AA444" s="671" t="s">
        <v>3597</v>
      </c>
      <c r="AB444" s="671" t="s">
        <v>3598</v>
      </c>
      <c r="AC444" s="671" t="s">
        <v>3599</v>
      </c>
      <c r="AD444" s="671"/>
      <c r="AE444" s="671"/>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1:76" x14ac:dyDescent="0.2">
      <c r="A445" s="115"/>
      <c r="B445" s="115"/>
      <c r="C445" s="768"/>
      <c r="D445" s="768"/>
      <c r="E445" s="768"/>
      <c r="F445" s="768"/>
      <c r="G445" s="768"/>
      <c r="H445" s="768"/>
      <c r="I445" s="768"/>
      <c r="J445" s="768"/>
      <c r="K445" s="768"/>
      <c r="L445" s="768"/>
      <c r="M445" s="671" t="s">
        <v>3140</v>
      </c>
      <c r="N445" s="671">
        <v>4</v>
      </c>
      <c r="O445" s="671">
        <v>70</v>
      </c>
      <c r="P445" s="671"/>
      <c r="Q445" s="671">
        <v>95</v>
      </c>
      <c r="R445" s="671"/>
      <c r="S445" s="671" t="s">
        <v>2762</v>
      </c>
      <c r="T445" s="768">
        <v>3954</v>
      </c>
      <c r="U445" s="768">
        <v>1906</v>
      </c>
      <c r="V445" s="768">
        <v>1416</v>
      </c>
      <c r="W445" s="768">
        <v>1110</v>
      </c>
      <c r="X445" s="671" t="s">
        <v>3582</v>
      </c>
      <c r="Y445" s="671" t="s">
        <v>3583</v>
      </c>
      <c r="Z445" s="671"/>
      <c r="AA445" s="671" t="s">
        <v>3157</v>
      </c>
      <c r="AB445" s="671" t="s">
        <v>3158</v>
      </c>
      <c r="AC445" s="671"/>
      <c r="AD445" s="671"/>
      <c r="AE445" s="671"/>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1:76" x14ac:dyDescent="0.2">
      <c r="A446" s="115"/>
      <c r="B446" s="115"/>
      <c r="C446" s="768"/>
      <c r="D446" s="768"/>
      <c r="E446" s="768"/>
      <c r="F446" s="768"/>
      <c r="G446" s="768"/>
      <c r="H446" s="768"/>
      <c r="I446" s="768"/>
      <c r="J446" s="768"/>
      <c r="K446" s="768"/>
      <c r="L446" s="768"/>
      <c r="M446" s="671" t="s">
        <v>3140</v>
      </c>
      <c r="N446" s="671">
        <v>5</v>
      </c>
      <c r="O446" s="671">
        <v>74</v>
      </c>
      <c r="P446" s="671"/>
      <c r="Q446" s="671">
        <v>100</v>
      </c>
      <c r="R446" s="671"/>
      <c r="S446" s="671" t="s">
        <v>2762</v>
      </c>
      <c r="T446" s="768">
        <v>3999</v>
      </c>
      <c r="U446" s="768">
        <v>1935</v>
      </c>
      <c r="V446" s="768">
        <v>1455</v>
      </c>
      <c r="W446" s="768">
        <v>1135</v>
      </c>
      <c r="X446" s="671" t="s">
        <v>3584</v>
      </c>
      <c r="Y446" s="671" t="s">
        <v>3585</v>
      </c>
      <c r="Z446" s="671"/>
      <c r="AA446" s="671" t="s">
        <v>3600</v>
      </c>
      <c r="AB446" s="671" t="s">
        <v>3601</v>
      </c>
      <c r="AC446" s="671" t="s">
        <v>3602</v>
      </c>
      <c r="AD446" s="671"/>
      <c r="AE446" s="671"/>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1:76" x14ac:dyDescent="0.2">
      <c r="A447" s="115"/>
      <c r="B447" s="115"/>
      <c r="C447" s="768"/>
      <c r="D447" s="768"/>
      <c r="E447" s="768"/>
      <c r="F447" s="768"/>
      <c r="G447" s="768"/>
      <c r="H447" s="768"/>
      <c r="I447" s="768"/>
      <c r="J447" s="768"/>
      <c r="K447" s="768"/>
      <c r="L447" s="768"/>
      <c r="M447" s="671" t="s">
        <v>3572</v>
      </c>
      <c r="N447" s="671">
        <v>5</v>
      </c>
      <c r="O447" s="671">
        <v>61</v>
      </c>
      <c r="P447" s="671"/>
      <c r="Q447" s="671">
        <v>83</v>
      </c>
      <c r="R447" s="671"/>
      <c r="S447" s="671" t="s">
        <v>2762</v>
      </c>
      <c r="T447" s="768">
        <v>3996</v>
      </c>
      <c r="U447" s="768">
        <v>2009</v>
      </c>
      <c r="V447" s="768">
        <v>1490</v>
      </c>
      <c r="W447" s="768">
        <v>1037</v>
      </c>
      <c r="X447" s="671" t="s">
        <v>2944</v>
      </c>
      <c r="Y447" s="671" t="s">
        <v>3586</v>
      </c>
      <c r="Z447" s="671"/>
      <c r="AA447" s="671" t="s">
        <v>3259</v>
      </c>
      <c r="AB447" s="671"/>
      <c r="AC447" s="671"/>
      <c r="AD447" s="671"/>
      <c r="AE447" s="671"/>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1:76" x14ac:dyDescent="0.2">
      <c r="A448" s="115"/>
      <c r="B448" s="115"/>
      <c r="C448" s="671"/>
      <c r="D448" s="768"/>
      <c r="E448" s="768"/>
      <c r="F448" s="671"/>
      <c r="G448" s="768"/>
      <c r="H448" s="768"/>
      <c r="I448" s="768"/>
      <c r="J448" s="768"/>
      <c r="K448" s="768"/>
      <c r="L448" s="768"/>
      <c r="M448" s="671" t="s">
        <v>3573</v>
      </c>
      <c r="N448" s="671">
        <v>5</v>
      </c>
      <c r="O448" s="671">
        <v>53</v>
      </c>
      <c r="P448" s="671"/>
      <c r="Q448" s="671">
        <v>72</v>
      </c>
      <c r="R448" s="671"/>
      <c r="S448" s="671" t="s">
        <v>2762</v>
      </c>
      <c r="T448" s="768">
        <v>3945</v>
      </c>
      <c r="U448" s="768">
        <v>1695</v>
      </c>
      <c r="V448" s="768">
        <v>1510</v>
      </c>
      <c r="W448" s="671">
        <v>980</v>
      </c>
      <c r="X448" s="671" t="s">
        <v>3587</v>
      </c>
      <c r="Y448" s="671" t="s">
        <v>3588</v>
      </c>
      <c r="Z448" s="671"/>
      <c r="AA448" s="671" t="s">
        <v>3190</v>
      </c>
      <c r="AB448" s="671" t="s">
        <v>2777</v>
      </c>
      <c r="AC448" s="671"/>
      <c r="AD448" s="671"/>
      <c r="AE448" s="671"/>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1:76" x14ac:dyDescent="0.2">
      <c r="A449" s="115"/>
      <c r="B449" s="115"/>
      <c r="C449" s="671"/>
      <c r="D449" s="671"/>
      <c r="E449" s="671"/>
      <c r="F449" s="671"/>
      <c r="G449" s="671"/>
      <c r="H449" s="671"/>
      <c r="I449" s="671"/>
      <c r="J449" s="671"/>
      <c r="K449" s="671"/>
      <c r="L449" s="671"/>
      <c r="M449" s="671" t="s">
        <v>3140</v>
      </c>
      <c r="N449" s="671">
        <v>4</v>
      </c>
      <c r="O449" s="671">
        <v>55</v>
      </c>
      <c r="P449" s="671"/>
      <c r="Q449" s="671">
        <v>75</v>
      </c>
      <c r="R449" s="671"/>
      <c r="S449" s="671" t="s">
        <v>2785</v>
      </c>
      <c r="T449" s="768">
        <v>3821</v>
      </c>
      <c r="U449" s="768">
        <v>1727</v>
      </c>
      <c r="V449" s="768">
        <v>1414</v>
      </c>
      <c r="W449" s="768">
        <v>1215</v>
      </c>
      <c r="X449" s="671" t="s">
        <v>3589</v>
      </c>
      <c r="Y449" s="671" t="s">
        <v>2913</v>
      </c>
      <c r="Z449" s="671" t="s">
        <v>3590</v>
      </c>
      <c r="AA449" s="671" t="s">
        <v>3603</v>
      </c>
      <c r="AB449" s="671"/>
      <c r="AC449" s="671"/>
      <c r="AD449" s="671" t="s">
        <v>3191</v>
      </c>
      <c r="AE449" s="671" t="s">
        <v>2781</v>
      </c>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1:76" x14ac:dyDescent="0.2">
      <c r="A450" s="115"/>
      <c r="B450" s="115"/>
      <c r="C450" s="671"/>
      <c r="D450" s="671"/>
      <c r="E450" s="671"/>
      <c r="F450" s="671"/>
      <c r="G450" s="671"/>
      <c r="H450" s="671"/>
      <c r="I450" s="671"/>
      <c r="J450" s="671"/>
      <c r="K450" s="671"/>
      <c r="L450" s="671"/>
      <c r="M450" s="671" t="s">
        <v>3572</v>
      </c>
      <c r="N450" s="671">
        <v>4</v>
      </c>
      <c r="O450" s="671">
        <v>51</v>
      </c>
      <c r="P450" s="671"/>
      <c r="Q450" s="671">
        <v>69</v>
      </c>
      <c r="R450" s="671"/>
      <c r="S450" s="671" t="s">
        <v>2822</v>
      </c>
      <c r="T450" s="768">
        <v>3571</v>
      </c>
      <c r="U450" s="768">
        <v>1627</v>
      </c>
      <c r="V450" s="768">
        <v>1488</v>
      </c>
      <c r="W450" s="671">
        <v>900</v>
      </c>
      <c r="X450" s="671"/>
      <c r="Y450" s="671"/>
      <c r="Z450" s="671"/>
      <c r="AA450" s="671" t="s">
        <v>3159</v>
      </c>
      <c r="AB450" s="671" t="s">
        <v>3604</v>
      </c>
      <c r="AC450" s="671" t="s">
        <v>3605</v>
      </c>
      <c r="AD450" s="671" t="s">
        <v>3607</v>
      </c>
      <c r="AE450" s="671"/>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1:76" x14ac:dyDescent="0.2">
      <c r="A451" s="115"/>
      <c r="B451" s="115"/>
      <c r="C451" s="671"/>
      <c r="D451" s="671"/>
      <c r="E451" s="671"/>
      <c r="F451" s="671"/>
      <c r="G451" s="671"/>
      <c r="H451" s="671"/>
      <c r="I451" s="671"/>
      <c r="J451" s="671"/>
      <c r="K451" s="671"/>
      <c r="L451" s="671"/>
      <c r="M451" s="671" t="s">
        <v>3573</v>
      </c>
      <c r="N451" s="671">
        <v>5</v>
      </c>
      <c r="O451" s="671">
        <v>70</v>
      </c>
      <c r="P451" s="671"/>
      <c r="Q451" s="671">
        <v>95</v>
      </c>
      <c r="R451" s="671"/>
      <c r="S451" s="671" t="s">
        <v>2785</v>
      </c>
      <c r="T451" s="768">
        <v>4065</v>
      </c>
      <c r="U451" s="768">
        <v>1941</v>
      </c>
      <c r="V451" s="768">
        <v>1466</v>
      </c>
      <c r="W451" s="768">
        <v>1163</v>
      </c>
      <c r="X451" s="671" t="s">
        <v>3617</v>
      </c>
      <c r="Y451" s="671" t="s">
        <v>3618</v>
      </c>
      <c r="Z451" s="671" t="s">
        <v>3166</v>
      </c>
      <c r="AA451" s="671" t="s">
        <v>3619</v>
      </c>
      <c r="AB451" s="671" t="s">
        <v>3166</v>
      </c>
      <c r="AC451" s="671" t="s">
        <v>3620</v>
      </c>
      <c r="AD451" s="671" t="s">
        <v>3651</v>
      </c>
      <c r="AE451" s="671" t="s">
        <v>3652</v>
      </c>
      <c r="AF451" s="671"/>
      <c r="AG451" s="671" t="s">
        <v>3191</v>
      </c>
      <c r="AH451" s="671" t="s">
        <v>2781</v>
      </c>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1:76" x14ac:dyDescent="0.2">
      <c r="A452" s="115"/>
      <c r="B452" s="115"/>
      <c r="C452" s="768"/>
      <c r="D452" s="768"/>
      <c r="E452" s="768"/>
      <c r="F452" s="768"/>
      <c r="G452" s="768"/>
      <c r="H452" s="768"/>
      <c r="I452" s="768"/>
      <c r="J452" s="768"/>
      <c r="K452" s="768"/>
      <c r="L452" s="768"/>
      <c r="M452" s="671" t="s">
        <v>3573</v>
      </c>
      <c r="N452" s="671">
        <v>5</v>
      </c>
      <c r="O452" s="671">
        <v>74</v>
      </c>
      <c r="P452" s="671"/>
      <c r="Q452" s="671">
        <v>100</v>
      </c>
      <c r="R452" s="671"/>
      <c r="S452" s="671" t="s">
        <v>2785</v>
      </c>
      <c r="T452" s="768">
        <v>4378</v>
      </c>
      <c r="U452" s="768">
        <v>1979</v>
      </c>
      <c r="V452" s="768">
        <v>1471</v>
      </c>
      <c r="W452" s="768">
        <v>1322</v>
      </c>
      <c r="X452" s="671" t="s">
        <v>3167</v>
      </c>
      <c r="Y452" s="671" t="s">
        <v>3621</v>
      </c>
      <c r="Z452" s="671" t="s">
        <v>3167</v>
      </c>
      <c r="AA452" s="671" t="s">
        <v>3622</v>
      </c>
      <c r="AB452" s="671" t="s">
        <v>3203</v>
      </c>
      <c r="AC452" s="671" t="s">
        <v>3623</v>
      </c>
      <c r="AD452" s="671" t="s">
        <v>3175</v>
      </c>
      <c r="AE452" s="671" t="s">
        <v>3178</v>
      </c>
      <c r="AF452" s="671" t="s">
        <v>3653</v>
      </c>
      <c r="AG452" s="671" t="s">
        <v>3094</v>
      </c>
      <c r="AH452" s="671" t="s">
        <v>3080</v>
      </c>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1:76" x14ac:dyDescent="0.2">
      <c r="A453" s="115"/>
      <c r="B453" s="115"/>
      <c r="C453" s="768"/>
      <c r="D453" s="768"/>
      <c r="E453" s="768"/>
      <c r="F453" s="768"/>
      <c r="G453" s="768"/>
      <c r="H453" s="768"/>
      <c r="I453" s="768"/>
      <c r="J453" s="768"/>
      <c r="K453" s="768"/>
      <c r="L453" s="768"/>
      <c r="M453" s="671" t="s">
        <v>3616</v>
      </c>
      <c r="N453" s="671">
        <v>5</v>
      </c>
      <c r="O453" s="671">
        <v>81</v>
      </c>
      <c r="P453" s="671"/>
      <c r="Q453" s="671">
        <v>110</v>
      </c>
      <c r="R453" s="671"/>
      <c r="S453" s="671" t="s">
        <v>2785</v>
      </c>
      <c r="T453" s="768">
        <v>4370</v>
      </c>
      <c r="U453" s="768">
        <v>2042</v>
      </c>
      <c r="V453" s="768">
        <v>1485</v>
      </c>
      <c r="W453" s="768">
        <v>1280</v>
      </c>
      <c r="X453" s="671" t="s">
        <v>3624</v>
      </c>
      <c r="Y453" s="671" t="s">
        <v>3625</v>
      </c>
      <c r="Z453" s="671" t="s">
        <v>3624</v>
      </c>
      <c r="AA453" s="671" t="s">
        <v>3626</v>
      </c>
      <c r="AB453" s="671"/>
      <c r="AC453" s="671"/>
      <c r="AD453" s="671" t="s">
        <v>3654</v>
      </c>
      <c r="AE453" s="671" t="s">
        <v>3655</v>
      </c>
      <c r="AF453" s="671"/>
      <c r="AG453" s="671" t="s">
        <v>3094</v>
      </c>
      <c r="AH453" s="671" t="s">
        <v>3080</v>
      </c>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1:76" x14ac:dyDescent="0.2">
      <c r="A454" s="115"/>
      <c r="B454" s="115"/>
      <c r="C454" s="768"/>
      <c r="D454" s="768"/>
      <c r="E454" s="768"/>
      <c r="F454" s="768"/>
      <c r="G454" s="768"/>
      <c r="H454" s="768"/>
      <c r="I454" s="768"/>
      <c r="J454" s="768"/>
      <c r="K454" s="768"/>
      <c r="L454" s="768"/>
      <c r="M454" s="671" t="s">
        <v>3573</v>
      </c>
      <c r="N454" s="671">
        <v>5</v>
      </c>
      <c r="O454" s="671">
        <v>70</v>
      </c>
      <c r="P454" s="671"/>
      <c r="Q454" s="671">
        <v>95</v>
      </c>
      <c r="R454" s="671"/>
      <c r="S454" s="671" t="s">
        <v>2762</v>
      </c>
      <c r="T454" s="768">
        <v>4262</v>
      </c>
      <c r="U454" s="768">
        <v>1958</v>
      </c>
      <c r="V454" s="768">
        <v>1488</v>
      </c>
      <c r="W454" s="768">
        <v>1136</v>
      </c>
      <c r="X454" s="671"/>
      <c r="Y454" s="671"/>
      <c r="Z454" s="671"/>
      <c r="AA454" s="671"/>
      <c r="AB454" s="671"/>
      <c r="AC454" s="671"/>
      <c r="AD454" s="671" t="s">
        <v>3173</v>
      </c>
      <c r="AE454" s="671" t="s">
        <v>3155</v>
      </c>
      <c r="AF454" s="671"/>
      <c r="AG454" s="671"/>
      <c r="AH454" s="671"/>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1:76" x14ac:dyDescent="0.2">
      <c r="A455" s="115"/>
      <c r="B455" s="115"/>
      <c r="C455" s="768"/>
      <c r="D455" s="768"/>
      <c r="E455" s="768"/>
      <c r="F455" s="768"/>
      <c r="G455" s="768"/>
      <c r="H455" s="768"/>
      <c r="I455" s="768"/>
      <c r="J455" s="768"/>
      <c r="K455" s="768"/>
      <c r="L455" s="768"/>
      <c r="M455" s="671" t="s">
        <v>3616</v>
      </c>
      <c r="N455" s="671">
        <v>5</v>
      </c>
      <c r="O455" s="671">
        <v>55</v>
      </c>
      <c r="P455" s="671"/>
      <c r="Q455" s="671">
        <v>75</v>
      </c>
      <c r="R455" s="671"/>
      <c r="S455" s="671" t="s">
        <v>2785</v>
      </c>
      <c r="T455" s="768">
        <v>4070</v>
      </c>
      <c r="U455" s="768">
        <v>1695</v>
      </c>
      <c r="V455" s="768">
        <v>1495</v>
      </c>
      <c r="W455" s="768">
        <v>1100</v>
      </c>
      <c r="X455" s="671" t="s">
        <v>2935</v>
      </c>
      <c r="Y455" s="671" t="s">
        <v>3627</v>
      </c>
      <c r="Z455" s="671"/>
      <c r="AA455" s="671"/>
      <c r="AB455" s="671"/>
      <c r="AC455" s="671"/>
      <c r="AD455" s="671" t="s">
        <v>3656</v>
      </c>
      <c r="AE455" s="671" t="s">
        <v>3657</v>
      </c>
      <c r="AF455" s="671"/>
      <c r="AG455" s="671"/>
      <c r="AH455" s="671"/>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1:76" x14ac:dyDescent="0.2">
      <c r="A456" s="115"/>
      <c r="B456" s="115"/>
      <c r="C456" s="671"/>
      <c r="D456" s="671"/>
      <c r="E456" s="671"/>
      <c r="F456" s="671"/>
      <c r="G456" s="671"/>
      <c r="H456" s="671"/>
      <c r="I456" s="671"/>
      <c r="J456" s="671"/>
      <c r="K456" s="671"/>
      <c r="L456" s="671"/>
      <c r="M456" s="671" t="s">
        <v>3572</v>
      </c>
      <c r="N456" s="671">
        <v>5</v>
      </c>
      <c r="O456" s="671">
        <v>53</v>
      </c>
      <c r="P456" s="671"/>
      <c r="Q456" s="671">
        <v>72</v>
      </c>
      <c r="R456" s="671"/>
      <c r="S456" s="671" t="s">
        <v>2762</v>
      </c>
      <c r="T456" s="768">
        <v>4050</v>
      </c>
      <c r="U456" s="768">
        <v>1988</v>
      </c>
      <c r="V456" s="768">
        <v>1440</v>
      </c>
      <c r="W456" s="768">
        <v>1148</v>
      </c>
      <c r="X456" s="671" t="s">
        <v>3199</v>
      </c>
      <c r="Y456" s="671" t="s">
        <v>3628</v>
      </c>
      <c r="Z456" s="671" t="s">
        <v>3629</v>
      </c>
      <c r="AA456" s="671" t="s">
        <v>3630</v>
      </c>
      <c r="AB456" s="671"/>
      <c r="AC456" s="671"/>
      <c r="AD456" s="671" t="s">
        <v>3658</v>
      </c>
      <c r="AE456" s="671" t="s">
        <v>3659</v>
      </c>
      <c r="AF456" s="671"/>
      <c r="AG456" s="671" t="s">
        <v>3094</v>
      </c>
      <c r="AH456" s="671" t="s">
        <v>3080</v>
      </c>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1:76" x14ac:dyDescent="0.2">
      <c r="A457" s="115"/>
      <c r="B457" s="115"/>
      <c r="C457" s="671"/>
      <c r="D457" s="671"/>
      <c r="E457" s="671"/>
      <c r="F457" s="671"/>
      <c r="G457" s="671"/>
      <c r="H457" s="671"/>
      <c r="I457" s="671"/>
      <c r="J457" s="671"/>
      <c r="K457" s="671"/>
      <c r="L457" s="671"/>
      <c r="M457" s="671" t="s">
        <v>3573</v>
      </c>
      <c r="N457" s="671">
        <v>5</v>
      </c>
      <c r="O457" s="671">
        <v>85</v>
      </c>
      <c r="P457" s="671"/>
      <c r="Q457" s="671">
        <v>115</v>
      </c>
      <c r="R457" s="671"/>
      <c r="S457" s="671" t="s">
        <v>2785</v>
      </c>
      <c r="T457" s="768">
        <v>4053</v>
      </c>
      <c r="U457" s="768">
        <v>1964</v>
      </c>
      <c r="V457" s="768">
        <v>1461</v>
      </c>
      <c r="W457" s="768">
        <v>1120</v>
      </c>
      <c r="X457" s="671" t="s">
        <v>3631</v>
      </c>
      <c r="Y457" s="671"/>
      <c r="Z457" s="671"/>
      <c r="AA457" s="671"/>
      <c r="AB457" s="671"/>
      <c r="AC457" s="671"/>
      <c r="AD457" s="671" t="s">
        <v>3149</v>
      </c>
      <c r="AE457" s="671" t="s">
        <v>3660</v>
      </c>
      <c r="AF457" s="671"/>
      <c r="AG457" s="671"/>
      <c r="AH457" s="671"/>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1:76" x14ac:dyDescent="0.2">
      <c r="A458" s="115"/>
      <c r="B458" s="115"/>
      <c r="C458" s="671"/>
      <c r="D458" s="671"/>
      <c r="E458" s="671"/>
      <c r="F458" s="671"/>
      <c r="G458" s="671"/>
      <c r="H458" s="671"/>
      <c r="I458" s="671"/>
      <c r="J458" s="671"/>
      <c r="K458" s="671"/>
      <c r="L458" s="671"/>
      <c r="M458" s="671" t="s">
        <v>3140</v>
      </c>
      <c r="N458" s="671">
        <v>5</v>
      </c>
      <c r="O458" s="671">
        <v>59</v>
      </c>
      <c r="P458" s="671"/>
      <c r="Q458" s="671">
        <v>80</v>
      </c>
      <c r="R458" s="671"/>
      <c r="S458" s="671" t="s">
        <v>2762</v>
      </c>
      <c r="T458" s="768">
        <v>4059</v>
      </c>
      <c r="U458" s="768">
        <v>1942</v>
      </c>
      <c r="V458" s="768">
        <v>1444</v>
      </c>
      <c r="W458" s="768">
        <v>1099</v>
      </c>
      <c r="X458" s="671" t="s">
        <v>3171</v>
      </c>
      <c r="Y458" s="671" t="s">
        <v>3632</v>
      </c>
      <c r="Z458" s="671" t="s">
        <v>3171</v>
      </c>
      <c r="AA458" s="671" t="s">
        <v>3633</v>
      </c>
      <c r="AB458" s="671" t="s">
        <v>3634</v>
      </c>
      <c r="AC458" s="671"/>
      <c r="AD458" s="671" t="s">
        <v>3661</v>
      </c>
      <c r="AE458" s="671" t="s">
        <v>3662</v>
      </c>
      <c r="AF458" s="671" t="s">
        <v>3112</v>
      </c>
      <c r="AG458" s="671"/>
      <c r="AH458" s="671"/>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1:76" x14ac:dyDescent="0.2">
      <c r="A459" s="115"/>
      <c r="B459" s="115"/>
      <c r="C459" s="671"/>
      <c r="D459" s="671"/>
      <c r="E459" s="671"/>
      <c r="F459" s="671"/>
      <c r="G459" s="671"/>
      <c r="H459" s="671"/>
      <c r="I459" s="671"/>
      <c r="J459" s="671"/>
      <c r="K459" s="671"/>
      <c r="L459" s="671"/>
      <c r="M459" s="671" t="s">
        <v>3140</v>
      </c>
      <c r="N459" s="671">
        <v>5</v>
      </c>
      <c r="O459" s="671">
        <v>81</v>
      </c>
      <c r="P459" s="671"/>
      <c r="Q459" s="671">
        <v>110</v>
      </c>
      <c r="R459" s="671"/>
      <c r="S459" s="671" t="s">
        <v>2785</v>
      </c>
      <c r="T459" s="768">
        <v>4282</v>
      </c>
      <c r="U459" s="768">
        <v>1816</v>
      </c>
      <c r="V459" s="768">
        <v>1459</v>
      </c>
      <c r="W459" s="768">
        <v>1202</v>
      </c>
      <c r="X459" s="671"/>
      <c r="Y459" s="671"/>
      <c r="Z459" s="671"/>
      <c r="AA459" s="671"/>
      <c r="AB459" s="671"/>
      <c r="AC459" s="671"/>
      <c r="AD459" s="671" t="s">
        <v>3663</v>
      </c>
      <c r="AE459" s="671"/>
      <c r="AF459" s="671"/>
      <c r="AG459" s="671" t="s">
        <v>3094</v>
      </c>
      <c r="AH459" s="671" t="s">
        <v>3080</v>
      </c>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1:76" x14ac:dyDescent="0.2">
      <c r="A460" s="115"/>
      <c r="B460" s="115"/>
      <c r="C460" s="671"/>
      <c r="D460" s="671"/>
      <c r="E460" s="671"/>
      <c r="F460" s="671"/>
      <c r="G460" s="671"/>
      <c r="H460" s="671"/>
      <c r="I460" s="671"/>
      <c r="J460" s="671"/>
      <c r="K460" s="671"/>
      <c r="L460" s="671"/>
      <c r="M460" s="671" t="s">
        <v>3573</v>
      </c>
      <c r="N460" s="671">
        <v>5</v>
      </c>
      <c r="O460" s="671">
        <v>96</v>
      </c>
      <c r="P460" s="671"/>
      <c r="Q460" s="671">
        <v>130</v>
      </c>
      <c r="R460" s="671"/>
      <c r="S460" s="671" t="s">
        <v>2785</v>
      </c>
      <c r="T460" s="768">
        <v>4284</v>
      </c>
      <c r="U460" s="768">
        <v>1789</v>
      </c>
      <c r="V460" s="768">
        <v>1491</v>
      </c>
      <c r="W460" s="768">
        <v>1315</v>
      </c>
      <c r="X460" s="671"/>
      <c r="Y460" s="671"/>
      <c r="Z460" s="671"/>
      <c r="AA460" s="671"/>
      <c r="AB460" s="671"/>
      <c r="AC460" s="671"/>
      <c r="AD460" s="671" t="s">
        <v>3664</v>
      </c>
      <c r="AE460" s="671"/>
      <c r="AF460" s="671"/>
      <c r="AG460" s="671"/>
      <c r="AH460" s="671"/>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1:76" x14ac:dyDescent="0.2">
      <c r="A461" s="115"/>
      <c r="B461" s="115"/>
      <c r="C461" s="671"/>
      <c r="D461" s="671"/>
      <c r="E461" s="671"/>
      <c r="F461" s="671"/>
      <c r="G461" s="671"/>
      <c r="H461" s="671"/>
      <c r="I461" s="671"/>
      <c r="J461" s="671"/>
      <c r="K461" s="671"/>
      <c r="L461" s="671"/>
      <c r="M461" s="671" t="s">
        <v>3616</v>
      </c>
      <c r="N461" s="671">
        <v>5</v>
      </c>
      <c r="O461" s="671">
        <v>55</v>
      </c>
      <c r="P461" s="671"/>
      <c r="Q461" s="671">
        <v>75</v>
      </c>
      <c r="R461" s="671"/>
      <c r="S461" s="671" t="s">
        <v>2762</v>
      </c>
      <c r="T461" s="768">
        <v>4060</v>
      </c>
      <c r="U461" s="768">
        <v>1960</v>
      </c>
      <c r="V461" s="768">
        <v>1433</v>
      </c>
      <c r="W461" s="768">
        <v>1055</v>
      </c>
      <c r="X461" s="671" t="s">
        <v>3635</v>
      </c>
      <c r="Y461" s="671" t="s">
        <v>3636</v>
      </c>
      <c r="Z461" s="671"/>
      <c r="AA461" s="671"/>
      <c r="AB461" s="671"/>
      <c r="AC461" s="671"/>
      <c r="AD461" s="671" t="s">
        <v>3665</v>
      </c>
      <c r="AE461" s="671" t="s">
        <v>3666</v>
      </c>
      <c r="AF461" s="671"/>
      <c r="AG461" s="671"/>
      <c r="AH461" s="671"/>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1:76" x14ac:dyDescent="0.2">
      <c r="A462" s="115"/>
      <c r="B462" s="115"/>
      <c r="C462" s="671"/>
      <c r="D462" s="671"/>
      <c r="E462" s="671"/>
      <c r="F462" s="671"/>
      <c r="G462" s="671"/>
      <c r="H462" s="671"/>
      <c r="I462" s="671"/>
      <c r="J462" s="671"/>
      <c r="K462" s="671"/>
      <c r="L462" s="671"/>
      <c r="M462" s="671" t="s">
        <v>3616</v>
      </c>
      <c r="N462" s="671">
        <v>5</v>
      </c>
      <c r="O462" s="671">
        <v>55</v>
      </c>
      <c r="P462" s="671"/>
      <c r="Q462" s="671">
        <v>75</v>
      </c>
      <c r="R462" s="671"/>
      <c r="S462" s="671" t="s">
        <v>2762</v>
      </c>
      <c r="T462" s="768">
        <v>4055</v>
      </c>
      <c r="U462" s="768">
        <v>1960</v>
      </c>
      <c r="V462" s="768">
        <v>1430</v>
      </c>
      <c r="W462" s="768">
        <v>1055</v>
      </c>
      <c r="X462" s="671" t="s">
        <v>3637</v>
      </c>
      <c r="Y462" s="671" t="s">
        <v>3638</v>
      </c>
      <c r="Z462" s="671" t="s">
        <v>2946</v>
      </c>
      <c r="AA462" s="671" t="s">
        <v>3639</v>
      </c>
      <c r="AB462" s="671"/>
      <c r="AC462" s="671"/>
      <c r="AD462" s="671" t="s">
        <v>3667</v>
      </c>
      <c r="AE462" s="671" t="s">
        <v>3668</v>
      </c>
      <c r="AF462" s="671"/>
      <c r="AG462" s="671"/>
      <c r="AH462" s="671"/>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1:76" x14ac:dyDescent="0.2">
      <c r="A463" s="115"/>
      <c r="B463" s="115"/>
      <c r="C463" s="671"/>
      <c r="D463" s="671"/>
      <c r="E463" s="671"/>
      <c r="F463" s="671"/>
      <c r="G463" s="671"/>
      <c r="H463" s="671"/>
      <c r="I463" s="671"/>
      <c r="J463" s="671"/>
      <c r="K463" s="671"/>
      <c r="L463" s="671"/>
      <c r="M463" s="671" t="s">
        <v>3572</v>
      </c>
      <c r="N463" s="671">
        <v>5</v>
      </c>
      <c r="O463" s="671">
        <v>74</v>
      </c>
      <c r="P463" s="671"/>
      <c r="Q463" s="671">
        <v>100</v>
      </c>
      <c r="R463" s="671"/>
      <c r="S463" s="671" t="s">
        <v>2762</v>
      </c>
      <c r="T463" s="768">
        <v>4035</v>
      </c>
      <c r="U463" s="768">
        <v>1734</v>
      </c>
      <c r="V463" s="768">
        <v>1474</v>
      </c>
      <c r="W463" s="768">
        <v>1065</v>
      </c>
      <c r="X463" s="671" t="s">
        <v>3640</v>
      </c>
      <c r="Y463" s="671" t="s">
        <v>3641</v>
      </c>
      <c r="Z463" s="671" t="s">
        <v>3640</v>
      </c>
      <c r="AA463" s="671" t="s">
        <v>3642</v>
      </c>
      <c r="AB463" s="671" t="s">
        <v>3168</v>
      </c>
      <c r="AC463" s="671" t="s">
        <v>3643</v>
      </c>
      <c r="AD463" s="671" t="s">
        <v>3187</v>
      </c>
      <c r="AE463" s="671"/>
      <c r="AF463" s="671"/>
      <c r="AG463" s="671"/>
      <c r="AH463" s="671"/>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1:76" x14ac:dyDescent="0.2">
      <c r="A464" s="115"/>
      <c r="B464" s="115"/>
      <c r="C464" s="671"/>
      <c r="D464" s="671"/>
      <c r="E464" s="671"/>
      <c r="F464" s="671"/>
      <c r="G464" s="671"/>
      <c r="H464" s="671"/>
      <c r="I464" s="671"/>
      <c r="J464" s="671"/>
      <c r="K464" s="671"/>
      <c r="L464" s="671"/>
      <c r="M464" s="671" t="s">
        <v>3572</v>
      </c>
      <c r="N464" s="671">
        <v>5</v>
      </c>
      <c r="O464" s="671">
        <v>74</v>
      </c>
      <c r="P464" s="671"/>
      <c r="Q464" s="671">
        <v>100</v>
      </c>
      <c r="R464" s="671"/>
      <c r="S464" s="671" t="s">
        <v>2762</v>
      </c>
      <c r="T464" s="768">
        <v>4065</v>
      </c>
      <c r="U464" s="768">
        <v>1725</v>
      </c>
      <c r="V464" s="768">
        <v>1450</v>
      </c>
      <c r="W464" s="768">
        <v>1080</v>
      </c>
      <c r="X464" s="671" t="s">
        <v>3644</v>
      </c>
      <c r="Y464" s="671" t="s">
        <v>3642</v>
      </c>
      <c r="Z464" s="671" t="s">
        <v>3615</v>
      </c>
      <c r="AA464" s="671" t="s">
        <v>3645</v>
      </c>
      <c r="AB464" s="671"/>
      <c r="AC464" s="671"/>
      <c r="AD464" s="671" t="s">
        <v>3594</v>
      </c>
      <c r="AE464" s="671" t="s">
        <v>3669</v>
      </c>
      <c r="AF464" s="671"/>
      <c r="AG464" s="671"/>
      <c r="AH464" s="671"/>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1:76" x14ac:dyDescent="0.2">
      <c r="A465" s="115"/>
      <c r="B465" s="115"/>
      <c r="C465" s="671"/>
      <c r="D465" s="671"/>
      <c r="E465" s="671"/>
      <c r="F465" s="671"/>
      <c r="G465" s="671"/>
      <c r="H465" s="671"/>
      <c r="I465" s="671"/>
      <c r="J465" s="671"/>
      <c r="K465" s="671"/>
      <c r="L465" s="671"/>
      <c r="M465" s="671" t="s">
        <v>3572</v>
      </c>
      <c r="N465" s="671">
        <v>5</v>
      </c>
      <c r="O465" s="671">
        <v>74</v>
      </c>
      <c r="P465" s="671"/>
      <c r="Q465" s="671">
        <v>100</v>
      </c>
      <c r="R465" s="671"/>
      <c r="S465" s="671" t="s">
        <v>2785</v>
      </c>
      <c r="T465" s="768">
        <v>4310</v>
      </c>
      <c r="U465" s="768">
        <v>1800</v>
      </c>
      <c r="V465" s="768">
        <v>1447</v>
      </c>
      <c r="W465" s="768">
        <v>1222</v>
      </c>
      <c r="X465" s="671" t="s">
        <v>3615</v>
      </c>
      <c r="Y465" s="671" t="s">
        <v>3646</v>
      </c>
      <c r="Z465" s="671" t="s">
        <v>3647</v>
      </c>
      <c r="AA465" s="671" t="s">
        <v>3648</v>
      </c>
      <c r="AB465" s="671"/>
      <c r="AC465" s="671"/>
      <c r="AD465" s="671" t="s">
        <v>3670</v>
      </c>
      <c r="AE465" s="671" t="s">
        <v>3671</v>
      </c>
      <c r="AF465" s="671"/>
      <c r="AG465" s="671" t="s">
        <v>3094</v>
      </c>
      <c r="AH465" s="671" t="s">
        <v>3080</v>
      </c>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1:76" x14ac:dyDescent="0.2">
      <c r="A466" s="115"/>
      <c r="B466" s="115"/>
      <c r="C466" s="671"/>
      <c r="D466" s="671"/>
      <c r="E466" s="671"/>
      <c r="F466" s="671"/>
      <c r="G466" s="671"/>
      <c r="H466" s="671"/>
      <c r="I466" s="671"/>
      <c r="J466" s="671"/>
      <c r="K466" s="671"/>
      <c r="L466" s="671"/>
      <c r="M466" s="671" t="s">
        <v>3573</v>
      </c>
      <c r="N466" s="671">
        <v>5</v>
      </c>
      <c r="O466" s="671">
        <v>70</v>
      </c>
      <c r="P466" s="671"/>
      <c r="Q466" s="671">
        <v>95</v>
      </c>
      <c r="R466" s="671"/>
      <c r="S466" s="671" t="s">
        <v>2762</v>
      </c>
      <c r="T466" s="768">
        <v>4362</v>
      </c>
      <c r="U466" s="768">
        <v>1988</v>
      </c>
      <c r="V466" s="768">
        <v>1471</v>
      </c>
      <c r="W466" s="768">
        <v>1192</v>
      </c>
      <c r="X466" s="671" t="s">
        <v>2915</v>
      </c>
      <c r="Y466" s="671" t="s">
        <v>3649</v>
      </c>
      <c r="Z466" s="671" t="s">
        <v>3172</v>
      </c>
      <c r="AA466" s="671" t="s">
        <v>3650</v>
      </c>
      <c r="AB466" s="671"/>
      <c r="AC466" s="671"/>
      <c r="AD466" s="671" t="s">
        <v>3173</v>
      </c>
      <c r="AE466" s="671" t="s">
        <v>3155</v>
      </c>
      <c r="AF466" s="671"/>
      <c r="AG466" s="671"/>
      <c r="AH466" s="671"/>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1:76" x14ac:dyDescent="0.2">
      <c r="A467" s="115"/>
      <c r="B467" s="115"/>
      <c r="C467" s="115"/>
      <c r="D467" s="115"/>
      <c r="E467" s="115"/>
      <c r="F467" s="115"/>
      <c r="G467" s="115"/>
      <c r="H467" s="115"/>
      <c r="I467" s="115"/>
      <c r="J467" s="115"/>
      <c r="K467" s="115"/>
      <c r="L467" s="115"/>
      <c r="M467" s="671" t="s">
        <v>3573</v>
      </c>
      <c r="N467" s="671">
        <v>5</v>
      </c>
      <c r="O467" s="671">
        <v>74</v>
      </c>
      <c r="P467" s="768"/>
      <c r="Q467" s="671">
        <v>100</v>
      </c>
      <c r="R467" s="671"/>
      <c r="S467" s="671" t="s">
        <v>2785</v>
      </c>
      <c r="T467" s="768">
        <v>4668</v>
      </c>
      <c r="U467" s="768">
        <v>1979</v>
      </c>
      <c r="V467" s="768">
        <v>1494</v>
      </c>
      <c r="W467" s="768">
        <v>1383</v>
      </c>
      <c r="X467" s="671" t="s">
        <v>3167</v>
      </c>
      <c r="Y467" s="671" t="s">
        <v>3681</v>
      </c>
      <c r="Z467" s="671" t="s">
        <v>3203</v>
      </c>
      <c r="AA467" s="671" t="s">
        <v>3682</v>
      </c>
      <c r="AB467" s="671" t="s">
        <v>3203</v>
      </c>
      <c r="AC467" s="671" t="s">
        <v>3683</v>
      </c>
      <c r="AD467" s="768" t="s">
        <v>3175</v>
      </c>
      <c r="AE467" s="768" t="s">
        <v>3178</v>
      </c>
      <c r="AF467" s="768" t="s">
        <v>3653</v>
      </c>
      <c r="AG467" s="671"/>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1:76" x14ac:dyDescent="0.2">
      <c r="A468" s="115"/>
      <c r="B468" s="115"/>
      <c r="C468" s="115"/>
      <c r="D468" s="115"/>
      <c r="E468" s="115"/>
      <c r="F468" s="115"/>
      <c r="G468" s="115"/>
      <c r="H468" s="115"/>
      <c r="I468" s="115"/>
      <c r="J468" s="115"/>
      <c r="K468" s="115"/>
      <c r="L468" s="115"/>
      <c r="M468" s="671" t="s">
        <v>3573</v>
      </c>
      <c r="N468" s="671">
        <v>5</v>
      </c>
      <c r="O468" s="671">
        <v>84</v>
      </c>
      <c r="P468" s="768"/>
      <c r="Q468" s="671">
        <v>115</v>
      </c>
      <c r="R468" s="671"/>
      <c r="S468" s="671" t="s">
        <v>2785</v>
      </c>
      <c r="T468" s="768">
        <v>4689</v>
      </c>
      <c r="U468" s="768">
        <v>1994</v>
      </c>
      <c r="V468" s="768">
        <v>1468</v>
      </c>
      <c r="W468" s="768">
        <v>1285</v>
      </c>
      <c r="X468" s="671" t="s">
        <v>3172</v>
      </c>
      <c r="Y468" s="671" t="s">
        <v>3684</v>
      </c>
      <c r="Z468" s="671"/>
      <c r="AA468" s="671"/>
      <c r="AB468" s="671"/>
      <c r="AC468" s="671"/>
      <c r="AD468" s="768" t="s">
        <v>3702</v>
      </c>
      <c r="AE468" s="768"/>
      <c r="AF468" s="768"/>
      <c r="AG468" s="671"/>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1:76" x14ac:dyDescent="0.2">
      <c r="A469" s="115"/>
      <c r="B469" s="115"/>
      <c r="C469" s="115"/>
      <c r="D469" s="115"/>
      <c r="E469" s="115"/>
      <c r="F469" s="115"/>
      <c r="G469" s="115"/>
      <c r="H469" s="115"/>
      <c r="I469" s="115"/>
      <c r="J469" s="115"/>
      <c r="K469" s="115"/>
      <c r="L469" s="115"/>
      <c r="M469" s="671" t="s">
        <v>3616</v>
      </c>
      <c r="N469" s="671">
        <v>5</v>
      </c>
      <c r="O469" s="671">
        <v>81</v>
      </c>
      <c r="P469" s="768"/>
      <c r="Q469" s="671">
        <v>110</v>
      </c>
      <c r="R469" s="671"/>
      <c r="S469" s="671" t="s">
        <v>2785</v>
      </c>
      <c r="T469" s="768">
        <v>4702</v>
      </c>
      <c r="U469" s="768">
        <v>2040</v>
      </c>
      <c r="V469" s="768">
        <v>1510</v>
      </c>
      <c r="W469" s="768">
        <v>1355</v>
      </c>
      <c r="X469" s="671" t="s">
        <v>3624</v>
      </c>
      <c r="Y469" s="671" t="s">
        <v>3685</v>
      </c>
      <c r="Z469" s="671" t="s">
        <v>3624</v>
      </c>
      <c r="AA469" s="671" t="s">
        <v>3686</v>
      </c>
      <c r="AB469" s="671"/>
      <c r="AC469" s="671"/>
      <c r="AD469" s="768" t="s">
        <v>3703</v>
      </c>
      <c r="AE469" s="768" t="s">
        <v>3655</v>
      </c>
      <c r="AF469" s="768"/>
      <c r="AG469" s="671"/>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1:76" x14ac:dyDescent="0.2">
      <c r="A470" s="115">
        <v>2021</v>
      </c>
      <c r="B470" s="115"/>
      <c r="C470" s="115"/>
      <c r="D470" s="115"/>
      <c r="E470" s="115"/>
      <c r="F470" s="115"/>
      <c r="G470" s="115"/>
      <c r="H470" s="115"/>
      <c r="I470" s="115"/>
      <c r="J470" s="115"/>
      <c r="K470" s="115"/>
      <c r="L470" s="115"/>
      <c r="M470" s="671" t="s">
        <v>3572</v>
      </c>
      <c r="N470" s="671">
        <v>5</v>
      </c>
      <c r="O470" s="671">
        <v>88</v>
      </c>
      <c r="P470" s="768"/>
      <c r="Q470" s="671">
        <v>120</v>
      </c>
      <c r="R470" s="671"/>
      <c r="S470" s="671" t="s">
        <v>2785</v>
      </c>
      <c r="T470" s="768">
        <v>4585</v>
      </c>
      <c r="U470" s="768">
        <v>2039</v>
      </c>
      <c r="V470" s="768">
        <v>1465</v>
      </c>
      <c r="W470" s="768">
        <v>1231</v>
      </c>
      <c r="X470" s="671" t="s">
        <v>3687</v>
      </c>
      <c r="Y470" s="671" t="s">
        <v>3688</v>
      </c>
      <c r="Z470" s="671"/>
      <c r="AA470" s="671"/>
      <c r="AB470" s="671"/>
      <c r="AC470" s="671"/>
      <c r="AD470" s="768" t="s">
        <v>3219</v>
      </c>
      <c r="AE470" s="768"/>
      <c r="AF470" s="768"/>
      <c r="AG470" s="671"/>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1:76" x14ac:dyDescent="0.2">
      <c r="A471" s="115"/>
      <c r="B471" s="115"/>
      <c r="C471" s="115"/>
      <c r="D471" s="115"/>
      <c r="E471" s="115"/>
      <c r="F471" s="115"/>
      <c r="G471" s="115"/>
      <c r="H471" s="115"/>
      <c r="I471" s="115"/>
      <c r="J471" s="115"/>
      <c r="K471" s="115"/>
      <c r="L471" s="115"/>
      <c r="M471" s="671" t="s">
        <v>3573</v>
      </c>
      <c r="N471" s="671">
        <v>5</v>
      </c>
      <c r="O471" s="671">
        <v>85</v>
      </c>
      <c r="P471" s="768"/>
      <c r="Q471" s="671">
        <v>116</v>
      </c>
      <c r="R471" s="671"/>
      <c r="S471" s="671" t="s">
        <v>2785</v>
      </c>
      <c r="T471" s="768">
        <v>4567</v>
      </c>
      <c r="U471" s="768">
        <v>2027</v>
      </c>
      <c r="V471" s="768">
        <v>1515</v>
      </c>
      <c r="W471" s="768">
        <v>1300</v>
      </c>
      <c r="X471" s="671" t="s">
        <v>3172</v>
      </c>
      <c r="Y471" s="671" t="s">
        <v>3689</v>
      </c>
      <c r="Z471" s="671" t="s">
        <v>3172</v>
      </c>
      <c r="AA471" s="671" t="s">
        <v>3690</v>
      </c>
      <c r="AB471" s="671"/>
      <c r="AC471" s="671"/>
      <c r="AD471" s="768" t="s">
        <v>2947</v>
      </c>
      <c r="AE471" s="768"/>
      <c r="AF471" s="768"/>
      <c r="AG471" s="671"/>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1:76" x14ac:dyDescent="0.2">
      <c r="A472" s="671" t="s">
        <v>2984</v>
      </c>
      <c r="B472" s="671">
        <v>108</v>
      </c>
      <c r="C472" s="671" t="s">
        <v>3137</v>
      </c>
      <c r="D472" s="671"/>
      <c r="E472" s="671"/>
      <c r="F472" s="768">
        <v>12740</v>
      </c>
      <c r="G472" s="671"/>
      <c r="H472" s="671"/>
      <c r="I472" s="671">
        <v>4.8</v>
      </c>
      <c r="J472" s="671" t="s">
        <v>4097</v>
      </c>
      <c r="K472" s="671">
        <v>109</v>
      </c>
      <c r="L472" s="671"/>
      <c r="M472" s="671" t="s">
        <v>3572</v>
      </c>
      <c r="N472" s="671">
        <v>5</v>
      </c>
      <c r="O472" s="671">
        <v>74</v>
      </c>
      <c r="P472" s="768"/>
      <c r="Q472" s="671">
        <v>100</v>
      </c>
      <c r="R472" s="671"/>
      <c r="S472" s="671" t="s">
        <v>2785</v>
      </c>
      <c r="T472" s="768">
        <v>4600</v>
      </c>
      <c r="U472" s="768">
        <v>1800</v>
      </c>
      <c r="V472" s="768">
        <v>1465</v>
      </c>
      <c r="W472" s="768">
        <v>1259</v>
      </c>
      <c r="X472" s="671" t="s">
        <v>3206</v>
      </c>
      <c r="Y472" s="671" t="s">
        <v>3648</v>
      </c>
      <c r="Z472" s="671"/>
      <c r="AA472" s="671"/>
      <c r="AB472" s="671"/>
      <c r="AC472" s="671"/>
      <c r="AD472" s="768" t="s">
        <v>3704</v>
      </c>
      <c r="AE472" s="768" t="s">
        <v>3671</v>
      </c>
      <c r="AF472" s="768"/>
      <c r="AG472" s="671"/>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1:76" x14ac:dyDescent="0.2">
      <c r="A473" s="671" t="s">
        <v>2989</v>
      </c>
      <c r="B473" s="671" t="s">
        <v>3007</v>
      </c>
      <c r="C473" s="671" t="s">
        <v>3136</v>
      </c>
      <c r="D473" s="671"/>
      <c r="E473" s="671"/>
      <c r="F473" s="768">
        <v>11490</v>
      </c>
      <c r="G473" s="671"/>
      <c r="H473" s="671"/>
      <c r="I473" s="671">
        <v>4.8</v>
      </c>
      <c r="J473" s="671" t="s">
        <v>4097</v>
      </c>
      <c r="K473" s="671">
        <v>110</v>
      </c>
      <c r="L473" s="671"/>
      <c r="M473" s="671" t="s">
        <v>3140</v>
      </c>
      <c r="N473" s="671">
        <v>5</v>
      </c>
      <c r="O473" s="671">
        <v>93</v>
      </c>
      <c r="P473" s="768"/>
      <c r="Q473" s="671">
        <v>126</v>
      </c>
      <c r="R473" s="671"/>
      <c r="S473" s="671" t="s">
        <v>2785</v>
      </c>
      <c r="T473" s="768">
        <v>4518</v>
      </c>
      <c r="U473" s="768">
        <v>2076</v>
      </c>
      <c r="V473" s="768">
        <v>1434</v>
      </c>
      <c r="W473" s="768">
        <v>1229</v>
      </c>
      <c r="X473" s="671" t="s">
        <v>3205</v>
      </c>
      <c r="Y473" s="671" t="s">
        <v>3691</v>
      </c>
      <c r="Z473" s="671"/>
      <c r="AA473" s="671"/>
      <c r="AB473" s="671"/>
      <c r="AC473" s="671"/>
      <c r="AD473" s="768" t="s">
        <v>3209</v>
      </c>
      <c r="AE473" s="768" t="s">
        <v>3705</v>
      </c>
      <c r="AF473" s="768"/>
      <c r="AG473" s="671"/>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1:76" x14ac:dyDescent="0.2">
      <c r="A474" s="671" t="s">
        <v>3096</v>
      </c>
      <c r="B474" s="671" t="s">
        <v>2902</v>
      </c>
      <c r="C474" s="671" t="s">
        <v>3138</v>
      </c>
      <c r="D474" s="671"/>
      <c r="E474" s="671"/>
      <c r="F474" s="768">
        <v>10990</v>
      </c>
      <c r="G474" s="671"/>
      <c r="H474" s="671"/>
      <c r="I474" s="671">
        <v>4.8</v>
      </c>
      <c r="J474" s="671" t="s">
        <v>4097</v>
      </c>
      <c r="K474" s="671">
        <v>110</v>
      </c>
      <c r="L474" s="671"/>
      <c r="M474" s="671" t="s">
        <v>3140</v>
      </c>
      <c r="N474" s="671">
        <v>5</v>
      </c>
      <c r="O474" s="671">
        <v>54</v>
      </c>
      <c r="P474" s="768"/>
      <c r="Q474" s="671">
        <v>73</v>
      </c>
      <c r="R474" s="671"/>
      <c r="S474" s="671" t="s">
        <v>2762</v>
      </c>
      <c r="T474" s="768">
        <v>4501</v>
      </c>
      <c r="U474" s="768">
        <v>1994</v>
      </c>
      <c r="V474" s="768">
        <v>1521</v>
      </c>
      <c r="W474" s="768">
        <v>1112</v>
      </c>
      <c r="X474" s="671" t="s">
        <v>3692</v>
      </c>
      <c r="Y474" s="671" t="s">
        <v>3693</v>
      </c>
      <c r="Z474" s="671"/>
      <c r="AA474" s="671"/>
      <c r="AB474" s="671"/>
      <c r="AC474" s="671"/>
      <c r="AD474" s="768" t="s">
        <v>3706</v>
      </c>
      <c r="AE474" s="768" t="s">
        <v>3707</v>
      </c>
      <c r="AF474" s="768" t="s">
        <v>3708</v>
      </c>
      <c r="AG474" s="671"/>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1:76" x14ac:dyDescent="0.2">
      <c r="A475" s="671" t="s">
        <v>2990</v>
      </c>
      <c r="B475" s="671" t="s">
        <v>2746</v>
      </c>
      <c r="C475" s="671" t="s">
        <v>2909</v>
      </c>
      <c r="D475" s="671"/>
      <c r="E475" s="671"/>
      <c r="F475" s="768">
        <v>11490</v>
      </c>
      <c r="G475" s="671"/>
      <c r="H475" s="671"/>
      <c r="I475" s="671">
        <v>5</v>
      </c>
      <c r="J475" s="671" t="s">
        <v>4097</v>
      </c>
      <c r="K475" s="671">
        <v>112</v>
      </c>
      <c r="L475" s="671"/>
      <c r="M475" s="671" t="s">
        <v>3680</v>
      </c>
      <c r="N475" s="671">
        <v>5</v>
      </c>
      <c r="O475" s="671">
        <v>100</v>
      </c>
      <c r="P475" s="768"/>
      <c r="Q475" s="671">
        <v>136</v>
      </c>
      <c r="R475" s="671"/>
      <c r="S475" s="671" t="s">
        <v>2785</v>
      </c>
      <c r="T475" s="768">
        <v>4549</v>
      </c>
      <c r="U475" s="768">
        <v>1796</v>
      </c>
      <c r="V475" s="768">
        <v>1446</v>
      </c>
      <c r="W475" s="768">
        <v>1360</v>
      </c>
      <c r="X475" s="671" t="s">
        <v>3202</v>
      </c>
      <c r="Y475" s="671" t="s">
        <v>3694</v>
      </c>
      <c r="Z475" s="671"/>
      <c r="AA475" s="671"/>
      <c r="AB475" s="671"/>
      <c r="AC475" s="671"/>
      <c r="AD475" s="768"/>
      <c r="AE475" s="768"/>
      <c r="AF475" s="768"/>
      <c r="AG475" s="768"/>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1:76" x14ac:dyDescent="0.2">
      <c r="A476" s="671" t="s">
        <v>2986</v>
      </c>
      <c r="B476" s="671" t="s">
        <v>3132</v>
      </c>
      <c r="C476" s="671" t="s">
        <v>3566</v>
      </c>
      <c r="D476" s="671"/>
      <c r="E476" s="671"/>
      <c r="F476" s="768">
        <v>12990</v>
      </c>
      <c r="G476" s="671"/>
      <c r="H476" s="671"/>
      <c r="I476" s="671">
        <v>5.0999999999999996</v>
      </c>
      <c r="J476" s="671" t="s">
        <v>4097</v>
      </c>
      <c r="K476" s="671">
        <v>115</v>
      </c>
      <c r="L476" s="671"/>
      <c r="M476" s="671" t="s">
        <v>3573</v>
      </c>
      <c r="N476" s="671">
        <v>5</v>
      </c>
      <c r="O476" s="671">
        <v>110</v>
      </c>
      <c r="P476" s="768"/>
      <c r="Q476" s="671">
        <v>150</v>
      </c>
      <c r="R476" s="671"/>
      <c r="S476" s="671" t="s">
        <v>2785</v>
      </c>
      <c r="T476" s="768">
        <v>4775</v>
      </c>
      <c r="U476" s="768">
        <v>2083</v>
      </c>
      <c r="V476" s="768">
        <v>1483</v>
      </c>
      <c r="W476" s="768">
        <v>1425</v>
      </c>
      <c r="X476" s="671" t="s">
        <v>3695</v>
      </c>
      <c r="Y476" s="671" t="s">
        <v>3696</v>
      </c>
      <c r="Z476" s="671"/>
      <c r="AA476" s="671"/>
      <c r="AB476" s="671"/>
      <c r="AC476" s="671"/>
      <c r="AD476" s="768" t="s">
        <v>3709</v>
      </c>
      <c r="AE476" s="768"/>
      <c r="AF476" s="768"/>
      <c r="AG476" s="671"/>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1:76" x14ac:dyDescent="0.2">
      <c r="A477" s="671" t="s">
        <v>2983</v>
      </c>
      <c r="B477" s="671" t="s">
        <v>3134</v>
      </c>
      <c r="C477" s="671" t="s">
        <v>3031</v>
      </c>
      <c r="D477" s="671"/>
      <c r="E477" s="671"/>
      <c r="F477" s="768">
        <v>13490</v>
      </c>
      <c r="G477" s="671"/>
      <c r="H477" s="671"/>
      <c r="I477" s="671">
        <v>5.0999999999999996</v>
      </c>
      <c r="J477" s="671" t="s">
        <v>4097</v>
      </c>
      <c r="K477" s="671">
        <v>115</v>
      </c>
      <c r="L477" s="671"/>
      <c r="M477" s="671" t="s">
        <v>3616</v>
      </c>
      <c r="N477" s="671">
        <v>5</v>
      </c>
      <c r="O477" s="671">
        <v>81</v>
      </c>
      <c r="P477" s="768"/>
      <c r="Q477" s="671">
        <v>110</v>
      </c>
      <c r="R477" s="671"/>
      <c r="S477" s="671" t="s">
        <v>2785</v>
      </c>
      <c r="T477" s="768">
        <v>4585</v>
      </c>
      <c r="U477" s="768">
        <v>2043</v>
      </c>
      <c r="V477" s="768">
        <v>1472</v>
      </c>
      <c r="W477" s="768">
        <v>1205</v>
      </c>
      <c r="X477" s="671" t="s">
        <v>2946</v>
      </c>
      <c r="Y477" s="671" t="s">
        <v>3697</v>
      </c>
      <c r="Z477" s="671"/>
      <c r="AA477" s="671"/>
      <c r="AB477" s="671"/>
      <c r="AC477" s="671"/>
      <c r="AD477" s="768" t="s">
        <v>3212</v>
      </c>
      <c r="AE477" s="768" t="s">
        <v>3710</v>
      </c>
      <c r="AF477" s="768" t="s">
        <v>3668</v>
      </c>
      <c r="AG477" s="768"/>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1:76" x14ac:dyDescent="0.2">
      <c r="A478" s="671" t="s">
        <v>2595</v>
      </c>
      <c r="B478" s="671" t="s">
        <v>3563</v>
      </c>
      <c r="C478" s="671" t="s">
        <v>2912</v>
      </c>
      <c r="D478" s="671"/>
      <c r="E478" s="671"/>
      <c r="F478" s="768">
        <v>10190</v>
      </c>
      <c r="G478" s="671"/>
      <c r="H478" s="671"/>
      <c r="I478" s="671">
        <v>5.0999999999999996</v>
      </c>
      <c r="J478" s="671" t="s">
        <v>4097</v>
      </c>
      <c r="K478" s="671">
        <v>116</v>
      </c>
      <c r="L478" s="671"/>
      <c r="M478" s="671" t="s">
        <v>3572</v>
      </c>
      <c r="N478" s="671">
        <v>5</v>
      </c>
      <c r="O478" s="671">
        <v>84</v>
      </c>
      <c r="P478" s="768"/>
      <c r="Q478" s="671">
        <v>115</v>
      </c>
      <c r="R478" s="671"/>
      <c r="S478" s="671" t="s">
        <v>2785</v>
      </c>
      <c r="T478" s="768">
        <v>4626</v>
      </c>
      <c r="U478" s="768">
        <v>2058</v>
      </c>
      <c r="V478" s="768">
        <v>1457</v>
      </c>
      <c r="W478" s="768">
        <v>1231</v>
      </c>
      <c r="X478" s="671" t="s">
        <v>3207</v>
      </c>
      <c r="Y478" s="671" t="s">
        <v>3698</v>
      </c>
      <c r="Z478" s="671" t="s">
        <v>3208</v>
      </c>
      <c r="AA478" s="671" t="s">
        <v>3699</v>
      </c>
      <c r="AB478" s="671"/>
      <c r="AC478" s="671"/>
      <c r="AD478" s="768" t="s">
        <v>3217</v>
      </c>
      <c r="AE478" s="768" t="s">
        <v>3711</v>
      </c>
      <c r="AF478" s="768"/>
      <c r="AG478" s="768"/>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1:76" x14ac:dyDescent="0.2">
      <c r="A479" s="671" t="s">
        <v>2992</v>
      </c>
      <c r="B479" s="671" t="s">
        <v>2895</v>
      </c>
      <c r="C479" s="671" t="s">
        <v>3567</v>
      </c>
      <c r="D479" s="671"/>
      <c r="E479" s="671"/>
      <c r="F479" s="768">
        <v>9990</v>
      </c>
      <c r="G479" s="671"/>
      <c r="H479" s="671"/>
      <c r="I479" s="671">
        <v>5.3</v>
      </c>
      <c r="J479" s="671" t="s">
        <v>4097</v>
      </c>
      <c r="K479" s="671">
        <v>119</v>
      </c>
      <c r="L479" s="671"/>
      <c r="M479" s="671" t="s">
        <v>3140</v>
      </c>
      <c r="N479" s="671">
        <v>5</v>
      </c>
      <c r="O479" s="671">
        <v>103</v>
      </c>
      <c r="P479" s="768"/>
      <c r="Q479" s="671">
        <v>140</v>
      </c>
      <c r="R479" s="671"/>
      <c r="S479" s="671" t="s">
        <v>2785</v>
      </c>
      <c r="T479" s="768">
        <v>4897</v>
      </c>
      <c r="U479" s="768">
        <v>2093</v>
      </c>
      <c r="V479" s="768">
        <v>1455</v>
      </c>
      <c r="W479" s="768">
        <v>1441</v>
      </c>
      <c r="X479" s="671" t="s">
        <v>3700</v>
      </c>
      <c r="Y479" s="671" t="s">
        <v>3701</v>
      </c>
      <c r="Z479" s="671"/>
      <c r="AA479" s="671"/>
      <c r="AB479" s="671"/>
      <c r="AC479" s="671"/>
      <c r="AD479" s="768" t="s">
        <v>3211</v>
      </c>
      <c r="AE479" s="768" t="s">
        <v>3220</v>
      </c>
      <c r="AF479" s="768" t="s">
        <v>3221</v>
      </c>
      <c r="AG479" s="768" t="s">
        <v>3079</v>
      </c>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1:76" x14ac:dyDescent="0.2">
      <c r="A480" s="671" t="s">
        <v>2991</v>
      </c>
      <c r="B480" s="671" t="s">
        <v>2901</v>
      </c>
      <c r="C480" s="671" t="s">
        <v>2915</v>
      </c>
      <c r="D480" s="671"/>
      <c r="E480" s="671"/>
      <c r="F480" s="768">
        <v>13240</v>
      </c>
      <c r="G480" s="671"/>
      <c r="H480" s="671"/>
      <c r="I480" s="671">
        <v>5.4</v>
      </c>
      <c r="J480" s="671" t="s">
        <v>4097</v>
      </c>
      <c r="K480" s="671">
        <v>123</v>
      </c>
      <c r="L480" s="671"/>
      <c r="M480" s="671" t="s">
        <v>3140</v>
      </c>
      <c r="N480" s="671">
        <v>5</v>
      </c>
      <c r="O480" s="671">
        <v>85</v>
      </c>
      <c r="P480" s="768"/>
      <c r="Q480" s="671">
        <v>116</v>
      </c>
      <c r="R480" s="671"/>
      <c r="S480" s="671" t="s">
        <v>2785</v>
      </c>
      <c r="T480" s="768">
        <v>4650</v>
      </c>
      <c r="U480" s="768">
        <v>1790</v>
      </c>
      <c r="V480" s="768">
        <v>1435</v>
      </c>
      <c r="W480" s="768">
        <v>1205</v>
      </c>
      <c r="X480" s="671"/>
      <c r="Y480" s="671"/>
      <c r="Z480" s="671"/>
      <c r="AA480" s="671"/>
      <c r="AB480" s="671"/>
      <c r="AC480" s="671"/>
      <c r="AD480" s="768" t="s">
        <v>3712</v>
      </c>
      <c r="AE480" s="768"/>
      <c r="AF480" s="768"/>
      <c r="AG480" s="671"/>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1:76" x14ac:dyDescent="0.2">
      <c r="A481" s="671" t="s">
        <v>2540</v>
      </c>
      <c r="B481" s="671" t="s">
        <v>2894</v>
      </c>
      <c r="C481" s="671" t="s">
        <v>3138</v>
      </c>
      <c r="D481" s="671"/>
      <c r="E481" s="671"/>
      <c r="F481" s="768">
        <v>12680</v>
      </c>
      <c r="G481" s="671"/>
      <c r="H481" s="671"/>
      <c r="I481" s="671">
        <v>5.4</v>
      </c>
      <c r="J481" s="671" t="s">
        <v>4097</v>
      </c>
      <c r="K481" s="671">
        <v>123</v>
      </c>
      <c r="L481" s="671"/>
      <c r="M481" s="671" t="s">
        <v>3573</v>
      </c>
      <c r="N481" s="671">
        <v>5</v>
      </c>
      <c r="O481" s="671">
        <v>110</v>
      </c>
      <c r="P481" s="768"/>
      <c r="Q481" s="671">
        <v>150</v>
      </c>
      <c r="R481" s="671"/>
      <c r="S481" s="671" t="s">
        <v>2785</v>
      </c>
      <c r="T481" s="768">
        <v>4861</v>
      </c>
      <c r="U481" s="768">
        <v>1864</v>
      </c>
      <c r="V481" s="768">
        <v>1458</v>
      </c>
      <c r="W481" s="768">
        <v>1435</v>
      </c>
      <c r="X481" s="671"/>
      <c r="Y481" s="671"/>
      <c r="Z481" s="671"/>
      <c r="AA481" s="671"/>
      <c r="AB481" s="671"/>
      <c r="AC481" s="671"/>
      <c r="AD481" s="768" t="s">
        <v>2788</v>
      </c>
      <c r="AE481" s="768" t="s">
        <v>3713</v>
      </c>
      <c r="AF481" s="768"/>
      <c r="AG481" s="768" t="s">
        <v>3079</v>
      </c>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1:76" x14ac:dyDescent="0.2">
      <c r="A482" s="671" t="s">
        <v>2993</v>
      </c>
      <c r="B482" s="671" t="s">
        <v>3135</v>
      </c>
      <c r="C482" s="671" t="s">
        <v>3568</v>
      </c>
      <c r="D482" s="671"/>
      <c r="E482" s="671"/>
      <c r="F482" s="768">
        <v>21780</v>
      </c>
      <c r="G482" s="671"/>
      <c r="H482" s="671"/>
      <c r="I482" s="671">
        <v>5.6</v>
      </c>
      <c r="J482" s="671" t="s">
        <v>4097</v>
      </c>
      <c r="K482" s="671">
        <v>126</v>
      </c>
      <c r="L482" s="671"/>
      <c r="M482" s="671" t="s">
        <v>3616</v>
      </c>
      <c r="N482" s="671">
        <v>5</v>
      </c>
      <c r="O482" s="671">
        <v>133</v>
      </c>
      <c r="P482" s="768"/>
      <c r="Q482" s="671">
        <v>181</v>
      </c>
      <c r="R482" s="671"/>
      <c r="S482" s="671" t="s">
        <v>3082</v>
      </c>
      <c r="T482" s="768">
        <v>4750</v>
      </c>
      <c r="U482" s="768">
        <v>2079</v>
      </c>
      <c r="V482" s="768">
        <v>1403</v>
      </c>
      <c r="W482" s="768">
        <v>1420</v>
      </c>
      <c r="X482" s="671"/>
      <c r="Y482" s="671"/>
      <c r="Z482" s="671"/>
      <c r="AA482" s="671"/>
      <c r="AB482" s="671"/>
      <c r="AC482" s="671"/>
      <c r="AD482" s="768" t="s">
        <v>3714</v>
      </c>
      <c r="AE482" s="768"/>
      <c r="AF482" s="768"/>
      <c r="AG482" s="671" t="s">
        <v>3079</v>
      </c>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1:76" x14ac:dyDescent="0.2">
      <c r="A483" s="671" t="s">
        <v>2996</v>
      </c>
      <c r="B483" s="671" t="s">
        <v>3564</v>
      </c>
      <c r="C483" s="671" t="s">
        <v>3569</v>
      </c>
      <c r="D483" s="671"/>
      <c r="E483" s="671"/>
      <c r="F483" s="768">
        <v>15090</v>
      </c>
      <c r="G483" s="671"/>
      <c r="H483" s="671"/>
      <c r="I483" s="671">
        <v>5.6</v>
      </c>
      <c r="J483" s="671" t="s">
        <v>4097</v>
      </c>
      <c r="K483" s="671">
        <v>126</v>
      </c>
      <c r="L483" s="671"/>
      <c r="M483" s="768" t="s">
        <v>3572</v>
      </c>
      <c r="N483" s="671">
        <v>4</v>
      </c>
      <c r="O483" s="671">
        <v>66</v>
      </c>
      <c r="P483" s="671"/>
      <c r="Q483" s="671">
        <v>90</v>
      </c>
      <c r="R483" s="671"/>
      <c r="S483" s="671" t="s">
        <v>2822</v>
      </c>
      <c r="T483" s="768">
        <v>3700</v>
      </c>
      <c r="U483" s="768">
        <v>1660</v>
      </c>
      <c r="V483" s="768">
        <v>1595</v>
      </c>
      <c r="W483" s="671">
        <v>860</v>
      </c>
      <c r="X483" s="671"/>
      <c r="Y483" s="671"/>
      <c r="Z483" s="671"/>
      <c r="AA483" s="768"/>
      <c r="AB483" s="768" t="s">
        <v>3156</v>
      </c>
      <c r="AC483" s="768"/>
      <c r="AD483" s="768"/>
      <c r="AE483" s="671"/>
      <c r="AF483" s="671"/>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1:76" x14ac:dyDescent="0.2">
      <c r="A484" s="671" t="s">
        <v>2989</v>
      </c>
      <c r="B484" s="671" t="s">
        <v>2743</v>
      </c>
      <c r="C484" s="671" t="s">
        <v>2751</v>
      </c>
      <c r="D484" s="671"/>
      <c r="E484" s="671"/>
      <c r="F484" s="768">
        <v>13390</v>
      </c>
      <c r="G484" s="671"/>
      <c r="H484" s="671"/>
      <c r="I484" s="671">
        <v>5.7</v>
      </c>
      <c r="J484" s="671" t="s">
        <v>4097</v>
      </c>
      <c r="K484" s="671">
        <v>127</v>
      </c>
      <c r="L484" s="671"/>
      <c r="M484" s="768" t="s">
        <v>3140</v>
      </c>
      <c r="N484" s="671">
        <v>5</v>
      </c>
      <c r="O484" s="671">
        <v>70</v>
      </c>
      <c r="P484" s="671"/>
      <c r="Q484" s="671">
        <v>95</v>
      </c>
      <c r="R484" s="671"/>
      <c r="S484" s="671" t="s">
        <v>2762</v>
      </c>
      <c r="T484" s="768">
        <v>4138</v>
      </c>
      <c r="U484" s="768">
        <v>1780</v>
      </c>
      <c r="V484" s="768">
        <v>1552</v>
      </c>
      <c r="W484" s="768">
        <v>1180</v>
      </c>
      <c r="X484" s="671" t="s">
        <v>3111</v>
      </c>
      <c r="Y484" s="671" t="s">
        <v>3717</v>
      </c>
      <c r="Z484" s="671"/>
      <c r="AA484" s="768"/>
      <c r="AB484" s="768" t="s">
        <v>3177</v>
      </c>
      <c r="AC484" s="768" t="s">
        <v>3722</v>
      </c>
      <c r="AD484" s="768"/>
      <c r="AE484" s="671"/>
      <c r="AF484" s="671"/>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1:76" x14ac:dyDescent="0.2">
      <c r="A485" s="671" t="s">
        <v>2990</v>
      </c>
      <c r="B485" s="671" t="s">
        <v>3133</v>
      </c>
      <c r="C485" s="671" t="s">
        <v>2909</v>
      </c>
      <c r="D485" s="671"/>
      <c r="E485" s="671"/>
      <c r="F485" s="768">
        <v>13190</v>
      </c>
      <c r="G485" s="671"/>
      <c r="H485" s="671"/>
      <c r="I485" s="671">
        <v>5.8</v>
      </c>
      <c r="J485" s="671" t="s">
        <v>4097</v>
      </c>
      <c r="K485" s="671">
        <v>131</v>
      </c>
      <c r="L485" s="671"/>
      <c r="M485" s="768" t="s">
        <v>3140</v>
      </c>
      <c r="N485" s="671">
        <v>5</v>
      </c>
      <c r="O485" s="671">
        <v>54</v>
      </c>
      <c r="P485" s="671"/>
      <c r="Q485" s="671">
        <v>73</v>
      </c>
      <c r="R485" s="671"/>
      <c r="S485" s="671" t="s">
        <v>2762</v>
      </c>
      <c r="T485" s="768">
        <v>4069</v>
      </c>
      <c r="U485" s="768">
        <v>1994</v>
      </c>
      <c r="V485" s="768">
        <v>1555</v>
      </c>
      <c r="W485" s="768">
        <v>1052</v>
      </c>
      <c r="X485" s="671" t="s">
        <v>3089</v>
      </c>
      <c r="Y485" s="671" t="s">
        <v>3693</v>
      </c>
      <c r="Z485" s="671"/>
      <c r="AA485" s="768"/>
      <c r="AB485" s="768" t="s">
        <v>3706</v>
      </c>
      <c r="AC485" s="768" t="s">
        <v>3707</v>
      </c>
      <c r="AD485" s="768" t="s">
        <v>3708</v>
      </c>
      <c r="AE485" s="671"/>
      <c r="AF485" s="671"/>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1:76" x14ac:dyDescent="0.2">
      <c r="A486" s="671" t="s">
        <v>2999</v>
      </c>
      <c r="B486" s="671" t="s">
        <v>3565</v>
      </c>
      <c r="C486" s="671" t="s">
        <v>3570</v>
      </c>
      <c r="D486" s="671"/>
      <c r="E486" s="671"/>
      <c r="F486" s="768">
        <v>19750</v>
      </c>
      <c r="G486" s="671"/>
      <c r="H486" s="671"/>
      <c r="I486" s="671">
        <v>5.8</v>
      </c>
      <c r="J486" s="671" t="s">
        <v>4097</v>
      </c>
      <c r="K486" s="671">
        <v>133</v>
      </c>
      <c r="L486" s="671"/>
      <c r="M486" s="768" t="s">
        <v>3573</v>
      </c>
      <c r="N486" s="671">
        <v>4</v>
      </c>
      <c r="O486" s="671">
        <v>51</v>
      </c>
      <c r="P486" s="671"/>
      <c r="Q486" s="671">
        <v>69</v>
      </c>
      <c r="R486" s="671"/>
      <c r="S486" s="671" t="s">
        <v>2762</v>
      </c>
      <c r="T486" s="768">
        <v>3653</v>
      </c>
      <c r="U486" s="768">
        <v>1882</v>
      </c>
      <c r="V486" s="768">
        <v>1551</v>
      </c>
      <c r="W486" s="671">
        <v>980</v>
      </c>
      <c r="X486" s="671"/>
      <c r="Y486" s="671"/>
      <c r="Z486" s="671"/>
      <c r="AA486" s="768"/>
      <c r="AB486" s="768" t="s">
        <v>3723</v>
      </c>
      <c r="AC486" s="768"/>
      <c r="AD486" s="768"/>
      <c r="AE486" s="671" t="s">
        <v>3606</v>
      </c>
      <c r="AF486" s="671" t="s">
        <v>2781</v>
      </c>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1:76" x14ac:dyDescent="0.2">
      <c r="A487" s="671" t="s">
        <v>2985</v>
      </c>
      <c r="B487" s="671">
        <v>500</v>
      </c>
      <c r="C487" s="671" t="s">
        <v>3143</v>
      </c>
      <c r="D487" s="671" t="s">
        <v>3571</v>
      </c>
      <c r="E487" s="671"/>
      <c r="F487" s="768">
        <v>18170</v>
      </c>
      <c r="G487" s="671"/>
      <c r="H487" s="671"/>
      <c r="I487" s="671">
        <v>5.5</v>
      </c>
      <c r="J487" s="671" t="s">
        <v>4097</v>
      </c>
      <c r="K487" s="671">
        <v>135</v>
      </c>
      <c r="L487" s="671"/>
      <c r="M487" s="768" t="s">
        <v>3573</v>
      </c>
      <c r="N487" s="671">
        <v>5</v>
      </c>
      <c r="O487" s="671">
        <v>70</v>
      </c>
      <c r="P487" s="671"/>
      <c r="Q487" s="671">
        <v>95</v>
      </c>
      <c r="R487" s="671"/>
      <c r="S487" s="671" t="s">
        <v>2762</v>
      </c>
      <c r="T487" s="768">
        <v>4108</v>
      </c>
      <c r="U487" s="768">
        <v>1977</v>
      </c>
      <c r="V487" s="768">
        <v>1584</v>
      </c>
      <c r="W487" s="768">
        <v>1245</v>
      </c>
      <c r="X487" s="671" t="s">
        <v>2915</v>
      </c>
      <c r="Y487" s="671" t="s">
        <v>3718</v>
      </c>
      <c r="Z487" s="671"/>
      <c r="AA487" s="768"/>
      <c r="AB487" s="768" t="s">
        <v>3230</v>
      </c>
      <c r="AC487" s="768"/>
      <c r="AD487" s="768"/>
      <c r="AE487" s="671"/>
      <c r="AF487" s="671"/>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1:76" x14ac:dyDescent="0.2">
      <c r="A488" s="671" t="s">
        <v>2995</v>
      </c>
      <c r="B488" s="671" t="s">
        <v>3164</v>
      </c>
      <c r="C488" s="671" t="s">
        <v>3166</v>
      </c>
      <c r="D488" s="671" t="s">
        <v>2911</v>
      </c>
      <c r="E488" s="671"/>
      <c r="F488" s="768">
        <v>15300</v>
      </c>
      <c r="G488" s="671"/>
      <c r="H488" s="671"/>
      <c r="I488" s="671">
        <v>5.0999999999999996</v>
      </c>
      <c r="J488" s="671" t="s">
        <v>4097</v>
      </c>
      <c r="K488" s="671">
        <v>115</v>
      </c>
      <c r="L488" s="671"/>
      <c r="M488" s="768" t="s">
        <v>3573</v>
      </c>
      <c r="N488" s="671">
        <v>5</v>
      </c>
      <c r="O488" s="671">
        <v>74</v>
      </c>
      <c r="P488" s="671"/>
      <c r="Q488" s="671">
        <v>100</v>
      </c>
      <c r="R488" s="671"/>
      <c r="S488" s="671" t="s">
        <v>2785</v>
      </c>
      <c r="T488" s="768">
        <v>4096</v>
      </c>
      <c r="U488" s="768">
        <v>2057</v>
      </c>
      <c r="V488" s="768">
        <v>1653</v>
      </c>
      <c r="W488" s="768">
        <v>1349</v>
      </c>
      <c r="X488" s="671" t="s">
        <v>3167</v>
      </c>
      <c r="Y488" s="671" t="s">
        <v>3719</v>
      </c>
      <c r="Z488" s="671" t="s">
        <v>3167</v>
      </c>
      <c r="AA488" s="768" t="s">
        <v>3698</v>
      </c>
      <c r="AB488" s="768" t="s">
        <v>3231</v>
      </c>
      <c r="AC488" s="768" t="s">
        <v>3724</v>
      </c>
      <c r="AD488" s="768" t="s">
        <v>3725</v>
      </c>
      <c r="AE488" s="671" t="s">
        <v>3072</v>
      </c>
      <c r="AF488" s="671" t="s">
        <v>3234</v>
      </c>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1:76" x14ac:dyDescent="0.2">
      <c r="A489" s="671" t="s">
        <v>2995</v>
      </c>
      <c r="B489" s="671" t="s">
        <v>3095</v>
      </c>
      <c r="C489" s="671" t="s">
        <v>3167</v>
      </c>
      <c r="D489" s="671"/>
      <c r="E489" s="671"/>
      <c r="F489" s="768">
        <v>22100</v>
      </c>
      <c r="G489" s="671"/>
      <c r="H489" s="671"/>
      <c r="I489" s="671">
        <v>5.3</v>
      </c>
      <c r="J489" s="671" t="s">
        <v>4097</v>
      </c>
      <c r="K489" s="671">
        <v>119</v>
      </c>
      <c r="L489" s="671"/>
      <c r="M489" s="768" t="s">
        <v>3140</v>
      </c>
      <c r="N489" s="671">
        <v>5</v>
      </c>
      <c r="O489" s="671">
        <v>74</v>
      </c>
      <c r="P489" s="671"/>
      <c r="Q489" s="671">
        <v>100</v>
      </c>
      <c r="R489" s="671"/>
      <c r="S489" s="671" t="s">
        <v>2762</v>
      </c>
      <c r="T489" s="768">
        <v>4227</v>
      </c>
      <c r="U489" s="768">
        <v>2003</v>
      </c>
      <c r="V489" s="768">
        <v>1576</v>
      </c>
      <c r="W489" s="768">
        <v>1248</v>
      </c>
      <c r="X489" s="671" t="s">
        <v>3629</v>
      </c>
      <c r="Y489" s="671" t="s">
        <v>3720</v>
      </c>
      <c r="Z489" s="671"/>
      <c r="AA489" s="768"/>
      <c r="AB489" s="768" t="s">
        <v>3658</v>
      </c>
      <c r="AC489" s="768" t="s">
        <v>3726</v>
      </c>
      <c r="AD489" s="768"/>
      <c r="AE489" s="671" t="s">
        <v>3282</v>
      </c>
      <c r="AF489" s="671" t="s">
        <v>3234</v>
      </c>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1:76" x14ac:dyDescent="0.2">
      <c r="A490" s="671" t="s">
        <v>2988</v>
      </c>
      <c r="B490" s="671" t="s">
        <v>3131</v>
      </c>
      <c r="C490" s="671" t="s">
        <v>3169</v>
      </c>
      <c r="D490" s="671" t="s">
        <v>3610</v>
      </c>
      <c r="E490" s="671"/>
      <c r="F490" s="768">
        <v>21739</v>
      </c>
      <c r="G490" s="671"/>
      <c r="H490" s="671"/>
      <c r="I490" s="671">
        <v>5.2</v>
      </c>
      <c r="J490" s="671" t="s">
        <v>4097</v>
      </c>
      <c r="K490" s="671">
        <v>119</v>
      </c>
      <c r="L490" s="671"/>
      <c r="M490" s="768" t="s">
        <v>3140</v>
      </c>
      <c r="N490" s="671">
        <v>5</v>
      </c>
      <c r="O490" s="671">
        <v>86</v>
      </c>
      <c r="P490" s="671"/>
      <c r="Q490" s="671">
        <v>117</v>
      </c>
      <c r="R490" s="671"/>
      <c r="S490" s="671" t="s">
        <v>2785</v>
      </c>
      <c r="T490" s="768">
        <v>4210</v>
      </c>
      <c r="U490" s="768">
        <v>1983</v>
      </c>
      <c r="V490" s="768">
        <v>1595</v>
      </c>
      <c r="W490" s="768">
        <v>1182</v>
      </c>
      <c r="X490" s="671"/>
      <c r="Y490" s="671"/>
      <c r="Z490" s="671"/>
      <c r="AA490" s="768"/>
      <c r="AB490" s="768" t="s">
        <v>3233</v>
      </c>
      <c r="AC490" s="768" t="s">
        <v>3727</v>
      </c>
      <c r="AD490" s="768" t="s">
        <v>3728</v>
      </c>
      <c r="AE490" s="671" t="s">
        <v>3282</v>
      </c>
      <c r="AF490" s="671" t="s">
        <v>3234</v>
      </c>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1:76" x14ac:dyDescent="0.2">
      <c r="A491" s="671" t="s">
        <v>2991</v>
      </c>
      <c r="B491" s="671" t="s">
        <v>2932</v>
      </c>
      <c r="C491" s="671" t="s">
        <v>2915</v>
      </c>
      <c r="D491" s="671"/>
      <c r="E491" s="671"/>
      <c r="F491" s="768">
        <v>13590</v>
      </c>
      <c r="G491" s="671"/>
      <c r="H491" s="671"/>
      <c r="I491" s="671">
        <v>5.3</v>
      </c>
      <c r="J491" s="671" t="s">
        <v>4097</v>
      </c>
      <c r="K491" s="671">
        <v>119</v>
      </c>
      <c r="L491" s="671"/>
      <c r="M491" s="768" t="s">
        <v>3572</v>
      </c>
      <c r="N491" s="671">
        <v>5</v>
      </c>
      <c r="O491" s="671">
        <v>81</v>
      </c>
      <c r="P491" s="671"/>
      <c r="Q491" s="671">
        <v>110</v>
      </c>
      <c r="R491" s="671"/>
      <c r="S491" s="671" t="s">
        <v>2785</v>
      </c>
      <c r="T491" s="768">
        <v>4154</v>
      </c>
      <c r="U491" s="768">
        <v>1976</v>
      </c>
      <c r="V491" s="768">
        <v>1597</v>
      </c>
      <c r="W491" s="768">
        <v>1247</v>
      </c>
      <c r="X491" s="671" t="s">
        <v>2946</v>
      </c>
      <c r="Y491" s="671" t="s">
        <v>3721</v>
      </c>
      <c r="Z491" s="671"/>
      <c r="AA491" s="768"/>
      <c r="AB491" s="768" t="s">
        <v>3729</v>
      </c>
      <c r="AC491" s="768"/>
      <c r="AD491" s="768"/>
      <c r="AE491" s="671"/>
      <c r="AF491" s="671"/>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1:76" x14ac:dyDescent="0.2">
      <c r="A492" s="671" t="s">
        <v>3099</v>
      </c>
      <c r="B492" s="671">
        <v>2</v>
      </c>
      <c r="C492" s="671" t="s">
        <v>3611</v>
      </c>
      <c r="D492" s="671"/>
      <c r="E492" s="671"/>
      <c r="F492" s="768">
        <v>14690</v>
      </c>
      <c r="G492" s="671"/>
      <c r="H492" s="671"/>
      <c r="I492" s="671">
        <v>5.3</v>
      </c>
      <c r="J492" s="671" t="s">
        <v>4097</v>
      </c>
      <c r="K492" s="671">
        <v>120</v>
      </c>
      <c r="L492" s="671"/>
      <c r="M492" s="768" t="s">
        <v>3572</v>
      </c>
      <c r="N492" s="671">
        <v>5</v>
      </c>
      <c r="O492" s="671">
        <v>88</v>
      </c>
      <c r="P492" s="671"/>
      <c r="Q492" s="671">
        <v>120</v>
      </c>
      <c r="R492" s="671"/>
      <c r="S492" s="671" t="s">
        <v>2785</v>
      </c>
      <c r="T492" s="768">
        <v>4165</v>
      </c>
      <c r="U492" s="768">
        <v>2070</v>
      </c>
      <c r="V492" s="768">
        <v>1550</v>
      </c>
      <c r="W492" s="768">
        <v>1223</v>
      </c>
      <c r="X492" s="671"/>
      <c r="Y492" s="671"/>
      <c r="Z492" s="671"/>
      <c r="AA492" s="768"/>
      <c r="AB492" s="768" t="s">
        <v>3730</v>
      </c>
      <c r="AC492" s="768"/>
      <c r="AD492" s="768"/>
      <c r="AE492" s="671"/>
      <c r="AF492" s="671"/>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1:76" x14ac:dyDescent="0.2">
      <c r="A493" s="671" t="s">
        <v>2992</v>
      </c>
      <c r="B493" s="671" t="s">
        <v>2542</v>
      </c>
      <c r="C493" s="671" t="s">
        <v>3567</v>
      </c>
      <c r="D493" s="671"/>
      <c r="E493" s="671"/>
      <c r="F493" s="768">
        <v>12940</v>
      </c>
      <c r="G493" s="671"/>
      <c r="H493" s="671"/>
      <c r="I493" s="671">
        <v>5.4</v>
      </c>
      <c r="J493" s="671" t="s">
        <v>4097</v>
      </c>
      <c r="K493" s="671">
        <v>120</v>
      </c>
      <c r="L493" s="671"/>
      <c r="M493" s="768" t="s">
        <v>3140</v>
      </c>
      <c r="N493" s="671">
        <v>5</v>
      </c>
      <c r="O493" s="671">
        <v>103</v>
      </c>
      <c r="P493" s="671"/>
      <c r="Q493" s="671">
        <v>140</v>
      </c>
      <c r="R493" s="671"/>
      <c r="S493" s="671" t="s">
        <v>2785</v>
      </c>
      <c r="T493" s="768">
        <v>4170</v>
      </c>
      <c r="U493" s="768">
        <v>1775</v>
      </c>
      <c r="V493" s="768">
        <v>1595</v>
      </c>
      <c r="W493" s="768">
        <v>1205</v>
      </c>
      <c r="X493" s="671"/>
      <c r="Y493" s="671"/>
      <c r="Z493" s="671"/>
      <c r="AA493" s="768"/>
      <c r="AB493" s="768" t="s">
        <v>3731</v>
      </c>
      <c r="AC493" s="768"/>
      <c r="AD493" s="768"/>
      <c r="AE493" s="671"/>
      <c r="AF493" s="671"/>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1:76" x14ac:dyDescent="0.2">
      <c r="A494" s="671" t="s">
        <v>2540</v>
      </c>
      <c r="B494" s="671" t="s">
        <v>2819</v>
      </c>
      <c r="C494" s="671" t="s">
        <v>2915</v>
      </c>
      <c r="D494" s="671"/>
      <c r="E494" s="671"/>
      <c r="F494" s="768">
        <v>15110</v>
      </c>
      <c r="G494" s="671"/>
      <c r="H494" s="671"/>
      <c r="I494" s="671">
        <v>5.3</v>
      </c>
      <c r="J494" s="671" t="s">
        <v>4097</v>
      </c>
      <c r="K494" s="671">
        <v>120</v>
      </c>
      <c r="L494" s="671"/>
      <c r="M494" s="671" t="s">
        <v>3573</v>
      </c>
      <c r="N494" s="671">
        <v>5</v>
      </c>
      <c r="O494" s="671">
        <v>85</v>
      </c>
      <c r="P494" s="671"/>
      <c r="Q494" s="671">
        <v>116</v>
      </c>
      <c r="R494" s="671"/>
      <c r="S494" s="671" t="s">
        <v>2785</v>
      </c>
      <c r="T494" s="768">
        <v>4351</v>
      </c>
      <c r="U494" s="768">
        <v>2050</v>
      </c>
      <c r="V494" s="768">
        <v>1613</v>
      </c>
      <c r="W494" s="768">
        <v>1330</v>
      </c>
      <c r="X494" s="671" t="s">
        <v>3172</v>
      </c>
      <c r="Y494" s="671" t="s">
        <v>3739</v>
      </c>
      <c r="Z494" s="768" t="s">
        <v>3172</v>
      </c>
      <c r="AA494" s="768" t="s">
        <v>3740</v>
      </c>
      <c r="AB494" s="768" t="s">
        <v>3248</v>
      </c>
      <c r="AC494" s="768"/>
      <c r="AD494" s="671"/>
      <c r="AE494" s="671"/>
      <c r="AF494" s="671"/>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1:76" x14ac:dyDescent="0.2">
      <c r="A495" s="671" t="s">
        <v>3110</v>
      </c>
      <c r="B495" s="671" t="s">
        <v>2783</v>
      </c>
      <c r="C495" s="671" t="s">
        <v>3138</v>
      </c>
      <c r="D495" s="671"/>
      <c r="E495" s="671"/>
      <c r="F495" s="768">
        <v>12990</v>
      </c>
      <c r="G495" s="671"/>
      <c r="H495" s="671"/>
      <c r="I495" s="671">
        <v>5.4</v>
      </c>
      <c r="J495" s="671" t="s">
        <v>4097</v>
      </c>
      <c r="K495" s="671">
        <v>122</v>
      </c>
      <c r="L495" s="671"/>
      <c r="M495" s="671" t="s">
        <v>3140</v>
      </c>
      <c r="N495" s="671">
        <v>5</v>
      </c>
      <c r="O495" s="671">
        <v>74</v>
      </c>
      <c r="P495" s="671"/>
      <c r="Q495" s="671">
        <v>100</v>
      </c>
      <c r="R495" s="671"/>
      <c r="S495" s="671" t="s">
        <v>2762</v>
      </c>
      <c r="T495" s="768">
        <v>4341</v>
      </c>
      <c r="U495" s="768">
        <v>2052</v>
      </c>
      <c r="V495" s="768">
        <v>1693</v>
      </c>
      <c r="W495" s="768">
        <v>1191</v>
      </c>
      <c r="X495" s="671" t="s">
        <v>3629</v>
      </c>
      <c r="Y495" s="671" t="s">
        <v>3741</v>
      </c>
      <c r="Z495" s="768" t="s">
        <v>3742</v>
      </c>
      <c r="AA495" s="768" t="s">
        <v>3743</v>
      </c>
      <c r="AB495" s="768" t="s">
        <v>3756</v>
      </c>
      <c r="AC495" s="768" t="s">
        <v>3757</v>
      </c>
      <c r="AD495" s="671" t="s">
        <v>3708</v>
      </c>
      <c r="AE495" s="671"/>
      <c r="AF495" s="671"/>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1:76" x14ac:dyDescent="0.2">
      <c r="A496" s="671" t="s">
        <v>3110</v>
      </c>
      <c r="B496" s="671" t="s">
        <v>2782</v>
      </c>
      <c r="C496" s="671" t="s">
        <v>2915</v>
      </c>
      <c r="D496" s="671"/>
      <c r="E496" s="671"/>
      <c r="F496" s="768">
        <v>19990</v>
      </c>
      <c r="G496" s="671"/>
      <c r="H496" s="671"/>
      <c r="I496" s="671">
        <v>5.4</v>
      </c>
      <c r="J496" s="671" t="s">
        <v>4097</v>
      </c>
      <c r="K496" s="671">
        <v>122</v>
      </c>
      <c r="L496" s="671"/>
      <c r="M496" s="671" t="s">
        <v>3616</v>
      </c>
      <c r="N496" s="671">
        <v>5</v>
      </c>
      <c r="O496" s="671">
        <v>60</v>
      </c>
      <c r="P496" s="671"/>
      <c r="Q496" s="671">
        <v>81</v>
      </c>
      <c r="R496" s="671"/>
      <c r="S496" s="671" t="s">
        <v>2762</v>
      </c>
      <c r="T496" s="768">
        <v>4212</v>
      </c>
      <c r="U496" s="768">
        <v>1976</v>
      </c>
      <c r="V496" s="768">
        <v>1605</v>
      </c>
      <c r="W496" s="768">
        <v>1174</v>
      </c>
      <c r="X496" s="671" t="s">
        <v>3169</v>
      </c>
      <c r="Y496" s="671" t="s">
        <v>3744</v>
      </c>
      <c r="Z496" s="671" t="s">
        <v>3169</v>
      </c>
      <c r="AA496" s="671" t="s">
        <v>3745</v>
      </c>
      <c r="AB496" s="671" t="s">
        <v>3247</v>
      </c>
      <c r="AC496" s="671" t="s">
        <v>3104</v>
      </c>
      <c r="AD496" s="671"/>
      <c r="AE496" s="671"/>
      <c r="AF496" s="671"/>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1:76" x14ac:dyDescent="0.2">
      <c r="A497" s="671" t="s">
        <v>2540</v>
      </c>
      <c r="B497" s="671" t="s">
        <v>3261</v>
      </c>
      <c r="C497" s="671" t="s">
        <v>3612</v>
      </c>
      <c r="D497" s="671"/>
      <c r="E497" s="671"/>
      <c r="F497" s="768">
        <v>26990</v>
      </c>
      <c r="G497" s="671"/>
      <c r="H497" s="671"/>
      <c r="I497" s="671">
        <v>5.4</v>
      </c>
      <c r="J497" s="671" t="s">
        <v>4097</v>
      </c>
      <c r="K497" s="671">
        <v>122</v>
      </c>
      <c r="L497" s="671"/>
      <c r="M497" s="671" t="s">
        <v>3573</v>
      </c>
      <c r="N497" s="671">
        <v>5</v>
      </c>
      <c r="O497" s="671">
        <v>85</v>
      </c>
      <c r="P497" s="671"/>
      <c r="Q497" s="671">
        <v>116</v>
      </c>
      <c r="R497" s="671"/>
      <c r="S497" s="671" t="s">
        <v>2785</v>
      </c>
      <c r="T497" s="768">
        <v>4382</v>
      </c>
      <c r="U497" s="768">
        <v>2025</v>
      </c>
      <c r="V497" s="768">
        <v>1603</v>
      </c>
      <c r="W497" s="768">
        <v>1344</v>
      </c>
      <c r="X497" s="671" t="s">
        <v>3172</v>
      </c>
      <c r="Y497" s="671" t="s">
        <v>3746</v>
      </c>
      <c r="Z497" s="671"/>
      <c r="AA497" s="671"/>
      <c r="AB497" s="671" t="s">
        <v>3758</v>
      </c>
      <c r="AC497" s="671" t="s">
        <v>2950</v>
      </c>
      <c r="AD497" s="671"/>
      <c r="AE497" s="671"/>
      <c r="AF497" s="671"/>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1:76" x14ac:dyDescent="0.2">
      <c r="A498" s="671" t="s">
        <v>2988</v>
      </c>
      <c r="B498" s="671" t="s">
        <v>3608</v>
      </c>
      <c r="C498" s="671" t="s">
        <v>3613</v>
      </c>
      <c r="D498" s="671"/>
      <c r="E498" s="671"/>
      <c r="F498" s="768">
        <v>14999</v>
      </c>
      <c r="G498" s="671"/>
      <c r="H498" s="671"/>
      <c r="I498" s="671">
        <v>5.4</v>
      </c>
      <c r="J498" s="671" t="s">
        <v>4097</v>
      </c>
      <c r="K498" s="671">
        <v>123</v>
      </c>
      <c r="L498" s="671"/>
      <c r="M498" s="671" t="s">
        <v>3572</v>
      </c>
      <c r="N498" s="671">
        <v>7</v>
      </c>
      <c r="O498" s="671">
        <v>96</v>
      </c>
      <c r="P498" s="671"/>
      <c r="Q498" s="671">
        <v>131</v>
      </c>
      <c r="R498" s="671"/>
      <c r="S498" s="671" t="s">
        <v>2785</v>
      </c>
      <c r="T498" s="768">
        <v>4597</v>
      </c>
      <c r="U498" s="768">
        <v>2117</v>
      </c>
      <c r="V498" s="768">
        <v>1638</v>
      </c>
      <c r="W498" s="768">
        <v>1423</v>
      </c>
      <c r="X498" s="671"/>
      <c r="Y498" s="671"/>
      <c r="Z498" s="671"/>
      <c r="AA498" s="671"/>
      <c r="AB498" s="671" t="s">
        <v>3259</v>
      </c>
      <c r="AC498" s="671"/>
      <c r="AD498" s="671"/>
      <c r="AE498" s="671"/>
      <c r="AF498" s="671"/>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1:76" x14ac:dyDescent="0.2">
      <c r="A499" s="671" t="s">
        <v>2997</v>
      </c>
      <c r="B499" s="671">
        <v>208</v>
      </c>
      <c r="C499" s="671" t="s">
        <v>3614</v>
      </c>
      <c r="D499" s="671" t="s">
        <v>3139</v>
      </c>
      <c r="E499" s="671"/>
      <c r="F499" s="768">
        <v>15990</v>
      </c>
      <c r="G499" s="671"/>
      <c r="H499" s="671"/>
      <c r="I499" s="671">
        <v>5.4</v>
      </c>
      <c r="J499" s="671" t="s">
        <v>4097</v>
      </c>
      <c r="K499" s="671">
        <v>123</v>
      </c>
      <c r="L499" s="671"/>
      <c r="M499" s="671" t="s">
        <v>3616</v>
      </c>
      <c r="N499" s="671">
        <v>5</v>
      </c>
      <c r="O499" s="671">
        <v>96</v>
      </c>
      <c r="P499" s="671"/>
      <c r="Q499" s="671">
        <v>131</v>
      </c>
      <c r="R499" s="671"/>
      <c r="S499" s="671" t="s">
        <v>2785</v>
      </c>
      <c r="T499" s="768">
        <v>4447</v>
      </c>
      <c r="U499" s="768">
        <v>2098</v>
      </c>
      <c r="V499" s="768">
        <v>1624</v>
      </c>
      <c r="W499" s="768">
        <v>1320</v>
      </c>
      <c r="X499" s="671"/>
      <c r="Y499" s="671"/>
      <c r="Z499" s="671"/>
      <c r="AA499" s="671"/>
      <c r="AB499" s="671" t="s">
        <v>3249</v>
      </c>
      <c r="AC499" s="671" t="s">
        <v>3759</v>
      </c>
      <c r="AD499" s="671"/>
      <c r="AE499" s="671"/>
      <c r="AF499" s="671"/>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1:76" x14ac:dyDescent="0.2">
      <c r="A500" s="671" t="s">
        <v>3096</v>
      </c>
      <c r="B500" s="671" t="s">
        <v>2934</v>
      </c>
      <c r="C500" s="671" t="s">
        <v>3200</v>
      </c>
      <c r="D500" s="671"/>
      <c r="E500" s="671"/>
      <c r="F500" s="768">
        <v>17190</v>
      </c>
      <c r="G500" s="671"/>
      <c r="H500" s="671"/>
      <c r="I500" s="671">
        <v>5.5</v>
      </c>
      <c r="J500" s="671" t="s">
        <v>4097</v>
      </c>
      <c r="K500" s="671">
        <v>126</v>
      </c>
      <c r="L500" s="671"/>
      <c r="M500" s="671" t="s">
        <v>3616</v>
      </c>
      <c r="N500" s="671">
        <v>5</v>
      </c>
      <c r="O500" s="671">
        <v>96</v>
      </c>
      <c r="P500" s="671"/>
      <c r="Q500" s="671">
        <v>130</v>
      </c>
      <c r="R500" s="671"/>
      <c r="S500" s="671" t="s">
        <v>2785</v>
      </c>
      <c r="T500" s="768">
        <v>4477</v>
      </c>
      <c r="U500" s="768">
        <v>2098</v>
      </c>
      <c r="V500" s="768">
        <v>1609</v>
      </c>
      <c r="W500" s="768">
        <v>1350</v>
      </c>
      <c r="X500" s="671" t="s">
        <v>3246</v>
      </c>
      <c r="Y500" s="671" t="s">
        <v>3747</v>
      </c>
      <c r="Z500" s="671"/>
      <c r="AA500" s="671"/>
      <c r="AB500" s="671" t="s">
        <v>3247</v>
      </c>
      <c r="AC500" s="671" t="s">
        <v>3104</v>
      </c>
      <c r="AD500" s="671"/>
      <c r="AE500" s="671"/>
      <c r="AF500" s="671"/>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1:76" x14ac:dyDescent="0.2">
      <c r="A501" s="671" t="s">
        <v>2595</v>
      </c>
      <c r="B501" s="671" t="s">
        <v>2933</v>
      </c>
      <c r="C501" s="671" t="s">
        <v>3615</v>
      </c>
      <c r="D501" s="671"/>
      <c r="E501" s="671"/>
      <c r="F501" s="768">
        <v>18090</v>
      </c>
      <c r="G501" s="671"/>
      <c r="H501" s="671"/>
      <c r="I501" s="671">
        <v>5.5</v>
      </c>
      <c r="J501" s="671" t="s">
        <v>4097</v>
      </c>
      <c r="K501" s="671">
        <v>126</v>
      </c>
      <c r="L501" s="671"/>
      <c r="M501" s="671" t="s">
        <v>3140</v>
      </c>
      <c r="N501" s="671">
        <v>5</v>
      </c>
      <c r="O501" s="671">
        <v>80</v>
      </c>
      <c r="P501" s="671"/>
      <c r="Q501" s="671">
        <v>109</v>
      </c>
      <c r="R501" s="671"/>
      <c r="S501" s="671" t="s">
        <v>3738</v>
      </c>
      <c r="T501" s="768">
        <v>4556</v>
      </c>
      <c r="U501" s="768">
        <v>1800</v>
      </c>
      <c r="V501" s="768">
        <v>1608</v>
      </c>
      <c r="W501" s="768">
        <v>1515</v>
      </c>
      <c r="X501" s="671" t="s">
        <v>3748</v>
      </c>
      <c r="Y501" s="671" t="s">
        <v>3749</v>
      </c>
      <c r="Z501" s="671" t="s">
        <v>3750</v>
      </c>
      <c r="AA501" s="671" t="s">
        <v>3751</v>
      </c>
      <c r="AB501" s="671"/>
      <c r="AC501" s="671"/>
      <c r="AD501" s="671"/>
      <c r="AE501" s="671"/>
      <c r="AF501" s="671"/>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1:76" x14ac:dyDescent="0.2">
      <c r="A502" s="671" t="s">
        <v>2595</v>
      </c>
      <c r="B502" s="671" t="s">
        <v>3165</v>
      </c>
      <c r="C502" s="671" t="s">
        <v>3615</v>
      </c>
      <c r="D502" s="671"/>
      <c r="E502" s="671"/>
      <c r="F502" s="768">
        <v>17790</v>
      </c>
      <c r="G502" s="671"/>
      <c r="H502" s="671"/>
      <c r="I502" s="671">
        <v>5.6</v>
      </c>
      <c r="J502" s="671" t="s">
        <v>4097</v>
      </c>
      <c r="K502" s="671">
        <v>126</v>
      </c>
      <c r="L502" s="671"/>
      <c r="M502" s="671" t="s">
        <v>3572</v>
      </c>
      <c r="N502" s="671">
        <v>5</v>
      </c>
      <c r="O502" s="671">
        <v>103</v>
      </c>
      <c r="P502" s="671"/>
      <c r="Q502" s="671">
        <v>140</v>
      </c>
      <c r="R502" s="671"/>
      <c r="S502" s="671" t="s">
        <v>2785</v>
      </c>
      <c r="T502" s="768">
        <v>4489</v>
      </c>
      <c r="U502" s="768">
        <v>2058</v>
      </c>
      <c r="V502" s="768">
        <v>1607</v>
      </c>
      <c r="W502" s="768">
        <v>1442</v>
      </c>
      <c r="X502" s="671" t="s">
        <v>3208</v>
      </c>
      <c r="Y502" s="671" t="s">
        <v>3752</v>
      </c>
      <c r="Z502" s="671"/>
      <c r="AA502" s="671"/>
      <c r="AB502" s="671" t="s">
        <v>3658</v>
      </c>
      <c r="AC502" s="671" t="s">
        <v>3260</v>
      </c>
      <c r="AD502" s="671"/>
      <c r="AE502" s="671"/>
      <c r="AF502" s="671"/>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1:76" x14ac:dyDescent="0.2">
      <c r="A503" s="671" t="s">
        <v>2991</v>
      </c>
      <c r="B503" s="671" t="s">
        <v>3609</v>
      </c>
      <c r="C503" s="671" t="s">
        <v>2915</v>
      </c>
      <c r="D503" s="671"/>
      <c r="E503" s="671"/>
      <c r="F503" s="768">
        <v>18980</v>
      </c>
      <c r="G503" s="671"/>
      <c r="H503" s="671"/>
      <c r="I503" s="671">
        <v>5.5</v>
      </c>
      <c r="J503" s="671" t="s">
        <v>4097</v>
      </c>
      <c r="K503" s="671">
        <v>126</v>
      </c>
      <c r="L503" s="671"/>
      <c r="M503" s="671" t="s">
        <v>3140</v>
      </c>
      <c r="N503" s="671">
        <v>5</v>
      </c>
      <c r="O503" s="671">
        <v>85</v>
      </c>
      <c r="P503" s="671"/>
      <c r="Q503" s="671">
        <v>116</v>
      </c>
      <c r="R503" s="671"/>
      <c r="S503" s="671" t="s">
        <v>2785</v>
      </c>
      <c r="T503" s="768">
        <v>4363</v>
      </c>
      <c r="U503" s="768">
        <v>2078</v>
      </c>
      <c r="V503" s="768">
        <v>1601</v>
      </c>
      <c r="W503" s="768">
        <v>1313</v>
      </c>
      <c r="X503" s="671" t="s">
        <v>2793</v>
      </c>
      <c r="Y503" s="671" t="s">
        <v>3753</v>
      </c>
      <c r="Z503" s="671"/>
      <c r="AA503" s="671"/>
      <c r="AB503" s="671" t="s">
        <v>3254</v>
      </c>
      <c r="AC503" s="671" t="s">
        <v>3255</v>
      </c>
      <c r="AD503" s="671"/>
      <c r="AE503" s="671"/>
      <c r="AF503" s="671"/>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1:76" x14ac:dyDescent="0.2">
      <c r="A504" s="671" t="s">
        <v>2995</v>
      </c>
      <c r="B504" s="671" t="s">
        <v>3672</v>
      </c>
      <c r="C504" s="671" t="s">
        <v>3167</v>
      </c>
      <c r="D504" s="671"/>
      <c r="E504" s="671"/>
      <c r="F504" s="768">
        <v>23600</v>
      </c>
      <c r="G504" s="671"/>
      <c r="H504" s="671"/>
      <c r="I504" s="671">
        <v>5.3</v>
      </c>
      <c r="J504" s="671" t="s">
        <v>4097</v>
      </c>
      <c r="K504" s="671">
        <v>119</v>
      </c>
      <c r="L504" s="671"/>
      <c r="M504" s="671" t="s">
        <v>3616</v>
      </c>
      <c r="N504" s="671">
        <v>5</v>
      </c>
      <c r="O504" s="671">
        <v>96</v>
      </c>
      <c r="P504" s="671"/>
      <c r="Q504" s="671">
        <v>131</v>
      </c>
      <c r="R504" s="671"/>
      <c r="S504" s="671" t="s">
        <v>2785</v>
      </c>
      <c r="T504" s="768">
        <v>4641</v>
      </c>
      <c r="U504" s="768">
        <v>2098</v>
      </c>
      <c r="V504" s="768">
        <v>1646</v>
      </c>
      <c r="W504" s="768">
        <v>1410</v>
      </c>
      <c r="X504" s="671"/>
      <c r="Y504" s="671"/>
      <c r="Z504" s="671"/>
      <c r="AA504" s="671"/>
      <c r="AB504" s="671" t="s">
        <v>3249</v>
      </c>
      <c r="AC504" s="671" t="s">
        <v>3759</v>
      </c>
      <c r="AD504" s="671"/>
      <c r="AE504" s="671" t="s">
        <v>2948</v>
      </c>
      <c r="AF504" s="671" t="s">
        <v>2781</v>
      </c>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1:76" x14ac:dyDescent="0.2">
      <c r="A505" s="671" t="s">
        <v>2991</v>
      </c>
      <c r="B505" s="671" t="s">
        <v>3673</v>
      </c>
      <c r="C505" s="671" t="s">
        <v>2915</v>
      </c>
      <c r="D505" s="671"/>
      <c r="E505" s="671"/>
      <c r="F505" s="768">
        <v>26880</v>
      </c>
      <c r="G505" s="671"/>
      <c r="H505" s="671"/>
      <c r="I505" s="671">
        <v>5.3</v>
      </c>
      <c r="J505" s="671" t="s">
        <v>4097</v>
      </c>
      <c r="K505" s="671">
        <v>120</v>
      </c>
      <c r="L505" s="671"/>
      <c r="M505" s="671" t="s">
        <v>3140</v>
      </c>
      <c r="N505" s="671">
        <v>5</v>
      </c>
      <c r="O505" s="671">
        <v>96</v>
      </c>
      <c r="P505" s="671"/>
      <c r="Q505" s="671">
        <v>131</v>
      </c>
      <c r="R505" s="671"/>
      <c r="S505" s="671" t="s">
        <v>2785</v>
      </c>
      <c r="T505" s="768">
        <v>4294</v>
      </c>
      <c r="U505" s="768">
        <v>1772</v>
      </c>
      <c r="V505" s="768">
        <v>1605</v>
      </c>
      <c r="W505" s="768">
        <v>1243</v>
      </c>
      <c r="X505" s="671"/>
      <c r="Y505" s="671"/>
      <c r="Z505" s="671"/>
      <c r="AA505" s="671"/>
      <c r="AB505" s="671" t="s">
        <v>3209</v>
      </c>
      <c r="AC505" s="671" t="s">
        <v>2940</v>
      </c>
      <c r="AD505" s="671"/>
      <c r="AE505" s="671"/>
      <c r="AF505" s="671"/>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1:76" x14ac:dyDescent="0.2">
      <c r="A506" s="671" t="s">
        <v>2988</v>
      </c>
      <c r="B506" s="671" t="s">
        <v>3195</v>
      </c>
      <c r="C506" s="671" t="s">
        <v>3169</v>
      </c>
      <c r="D506" s="671" t="s">
        <v>3610</v>
      </c>
      <c r="E506" s="671"/>
      <c r="F506" s="768">
        <v>23339</v>
      </c>
      <c r="G506" s="671"/>
      <c r="H506" s="671"/>
      <c r="I506" s="671">
        <v>5.4</v>
      </c>
      <c r="J506" s="671" t="s">
        <v>4097</v>
      </c>
      <c r="K506" s="671">
        <v>122</v>
      </c>
      <c r="L506" s="671"/>
      <c r="M506" s="671" t="s">
        <v>3140</v>
      </c>
      <c r="N506" s="671">
        <v>5</v>
      </c>
      <c r="O506" s="671">
        <v>96</v>
      </c>
      <c r="P506" s="671"/>
      <c r="Q506" s="671">
        <v>131</v>
      </c>
      <c r="R506" s="671"/>
      <c r="S506" s="671" t="s">
        <v>2785</v>
      </c>
      <c r="T506" s="768">
        <v>4500</v>
      </c>
      <c r="U506" s="768">
        <v>2099</v>
      </c>
      <c r="V506" s="768">
        <v>1654</v>
      </c>
      <c r="W506" s="768">
        <v>1468</v>
      </c>
      <c r="X506" s="671"/>
      <c r="Y506" s="671"/>
      <c r="Z506" s="671"/>
      <c r="AA506" s="671"/>
      <c r="AB506" s="671" t="s">
        <v>3760</v>
      </c>
      <c r="AC506" s="671"/>
      <c r="AD506" s="671"/>
      <c r="AE506" s="671"/>
      <c r="AF506" s="671"/>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1:76" x14ac:dyDescent="0.2">
      <c r="A507" s="671" t="s">
        <v>3096</v>
      </c>
      <c r="B507" s="671" t="s">
        <v>3674</v>
      </c>
      <c r="C507" s="671" t="s">
        <v>3200</v>
      </c>
      <c r="D507" s="671"/>
      <c r="E507" s="671"/>
      <c r="F507" s="768">
        <v>20590</v>
      </c>
      <c r="G507" s="671"/>
      <c r="H507" s="671"/>
      <c r="I507" s="671">
        <v>5.4</v>
      </c>
      <c r="J507" s="671" t="s">
        <v>4097</v>
      </c>
      <c r="K507" s="671">
        <v>123</v>
      </c>
      <c r="L507" s="671"/>
      <c r="M507" s="671" t="s">
        <v>3140</v>
      </c>
      <c r="N507" s="671">
        <v>5</v>
      </c>
      <c r="O507" s="671">
        <v>85</v>
      </c>
      <c r="P507" s="671"/>
      <c r="Q507" s="671">
        <v>115</v>
      </c>
      <c r="R507" s="671"/>
      <c r="S507" s="671" t="s">
        <v>2785</v>
      </c>
      <c r="T507" s="768">
        <v>4406</v>
      </c>
      <c r="U507" s="768">
        <v>2128</v>
      </c>
      <c r="V507" s="768">
        <v>1653</v>
      </c>
      <c r="W507" s="768">
        <v>1528</v>
      </c>
      <c r="X507" s="671" t="s">
        <v>3207</v>
      </c>
      <c r="Y507" s="671" t="s">
        <v>3754</v>
      </c>
      <c r="Z507" s="671" t="s">
        <v>3208</v>
      </c>
      <c r="AA507" s="671" t="s">
        <v>3755</v>
      </c>
      <c r="AB507" s="671" t="s">
        <v>3761</v>
      </c>
      <c r="AC507" s="671" t="s">
        <v>3257</v>
      </c>
      <c r="AD507" s="671"/>
      <c r="AE507" s="671"/>
      <c r="AF507" s="671"/>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1:76" x14ac:dyDescent="0.2">
      <c r="A508" s="671" t="s">
        <v>2540</v>
      </c>
      <c r="B508" s="671" t="s">
        <v>2789</v>
      </c>
      <c r="C508" s="671" t="s">
        <v>2915</v>
      </c>
      <c r="D508" s="671"/>
      <c r="E508" s="671"/>
      <c r="F508" s="768">
        <v>25570</v>
      </c>
      <c r="G508" s="671"/>
      <c r="H508" s="671"/>
      <c r="I508" s="671">
        <v>5.6</v>
      </c>
      <c r="J508" s="671" t="s">
        <v>4097</v>
      </c>
      <c r="K508" s="671">
        <v>126</v>
      </c>
      <c r="L508" s="671"/>
      <c r="M508" s="671" t="s">
        <v>3140</v>
      </c>
      <c r="N508" s="671">
        <v>5</v>
      </c>
      <c r="O508" s="671">
        <v>110</v>
      </c>
      <c r="P508" s="671"/>
      <c r="Q508" s="671">
        <v>150</v>
      </c>
      <c r="R508" s="671"/>
      <c r="S508" s="671" t="s">
        <v>2785</v>
      </c>
      <c r="T508" s="768">
        <v>4854</v>
      </c>
      <c r="U508" s="768">
        <v>2081</v>
      </c>
      <c r="V508" s="768">
        <v>1720</v>
      </c>
      <c r="W508" s="768">
        <v>1695</v>
      </c>
      <c r="X508" s="671"/>
      <c r="Y508" s="671"/>
      <c r="Z508" s="671"/>
      <c r="AA508" s="671"/>
      <c r="AB508" s="671" t="s">
        <v>3762</v>
      </c>
      <c r="AC508" s="671" t="s">
        <v>3763</v>
      </c>
      <c r="AD508" s="671"/>
      <c r="AE508" s="671" t="s">
        <v>2948</v>
      </c>
      <c r="AF508" s="671" t="s">
        <v>2781</v>
      </c>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1:76" x14ac:dyDescent="0.2">
      <c r="A509" s="671" t="s">
        <v>2595</v>
      </c>
      <c r="B509" s="671" t="s">
        <v>3098</v>
      </c>
      <c r="C509" s="671" t="s">
        <v>3615</v>
      </c>
      <c r="D509" s="671"/>
      <c r="E509" s="671"/>
      <c r="F509" s="768">
        <v>18990</v>
      </c>
      <c r="G509" s="671"/>
      <c r="H509" s="671"/>
      <c r="I509" s="671">
        <v>5.6</v>
      </c>
      <c r="J509" s="671" t="s">
        <v>4097</v>
      </c>
      <c r="K509" s="671">
        <v>127</v>
      </c>
      <c r="L509" s="671"/>
      <c r="M509" s="671" t="s">
        <v>3140</v>
      </c>
      <c r="N509" s="671">
        <v>5</v>
      </c>
      <c r="O509" s="671">
        <v>75</v>
      </c>
      <c r="P509" s="671"/>
      <c r="Q509" s="768">
        <v>102</v>
      </c>
      <c r="R509" s="671"/>
      <c r="S509" s="671" t="s">
        <v>2785</v>
      </c>
      <c r="T509" s="768">
        <v>4060</v>
      </c>
      <c r="U509" s="768">
        <v>1960</v>
      </c>
      <c r="V509" s="768">
        <v>1433</v>
      </c>
      <c r="W509" s="768">
        <v>1165</v>
      </c>
      <c r="X509" s="768"/>
      <c r="Y509" s="671"/>
      <c r="Z509" s="671"/>
      <c r="AA509" s="671"/>
      <c r="AB509" s="671" t="s">
        <v>3654</v>
      </c>
      <c r="AC509" s="671" t="s">
        <v>3069</v>
      </c>
      <c r="AD509" s="671"/>
      <c r="AE509" s="768"/>
      <c r="AF509" s="768"/>
      <c r="AG509" s="768"/>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1:76" x14ac:dyDescent="0.2">
      <c r="A510" s="671" t="s">
        <v>3001</v>
      </c>
      <c r="B510" s="671" t="s">
        <v>2829</v>
      </c>
      <c r="C510" s="671" t="s">
        <v>3197</v>
      </c>
      <c r="D510" s="671" t="s">
        <v>3198</v>
      </c>
      <c r="E510" s="671"/>
      <c r="F510" s="768">
        <v>22890</v>
      </c>
      <c r="G510" s="671"/>
      <c r="H510" s="671"/>
      <c r="I510" s="671">
        <v>5.7</v>
      </c>
      <c r="J510" s="671" t="s">
        <v>4097</v>
      </c>
      <c r="K510" s="671">
        <v>128</v>
      </c>
      <c r="L510" s="671"/>
      <c r="M510" s="671" t="s">
        <v>3573</v>
      </c>
      <c r="N510" s="671">
        <v>5</v>
      </c>
      <c r="O510" s="671">
        <v>85</v>
      </c>
      <c r="P510" s="671"/>
      <c r="Q510" s="768">
        <v>115</v>
      </c>
      <c r="R510" s="671"/>
      <c r="S510" s="671" t="s">
        <v>2785</v>
      </c>
      <c r="T510" s="768">
        <v>4284</v>
      </c>
      <c r="U510" s="768">
        <v>1789</v>
      </c>
      <c r="V510" s="768">
        <v>1491</v>
      </c>
      <c r="W510" s="768">
        <v>1380</v>
      </c>
      <c r="X510" s="768"/>
      <c r="Y510" s="671"/>
      <c r="Z510" s="671"/>
      <c r="AA510" s="671"/>
      <c r="AB510" s="671" t="s">
        <v>3789</v>
      </c>
      <c r="AC510" s="671"/>
      <c r="AD510" s="671"/>
      <c r="AE510" s="768"/>
      <c r="AF510" s="768"/>
      <c r="AG510" s="768"/>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1:76" x14ac:dyDescent="0.2">
      <c r="A511" s="671" t="s">
        <v>3087</v>
      </c>
      <c r="B511" s="671" t="s">
        <v>3675</v>
      </c>
      <c r="C511" s="671" t="s">
        <v>3228</v>
      </c>
      <c r="D511" s="671"/>
      <c r="E511" s="671"/>
      <c r="F511" s="768">
        <v>8590</v>
      </c>
      <c r="G511" s="671"/>
      <c r="H511" s="671"/>
      <c r="I511" s="671">
        <v>5.7</v>
      </c>
      <c r="J511" s="671" t="s">
        <v>4097</v>
      </c>
      <c r="K511" s="671">
        <v>129</v>
      </c>
      <c r="L511" s="671"/>
      <c r="M511" s="671" t="s">
        <v>3140</v>
      </c>
      <c r="N511" s="671">
        <v>5</v>
      </c>
      <c r="O511" s="671">
        <v>75</v>
      </c>
      <c r="P511" s="671"/>
      <c r="Q511" s="768">
        <v>102</v>
      </c>
      <c r="R511" s="671"/>
      <c r="S511" s="671" t="s">
        <v>2785</v>
      </c>
      <c r="T511" s="768">
        <v>4055</v>
      </c>
      <c r="U511" s="768">
        <v>1960</v>
      </c>
      <c r="V511" s="768">
        <v>1430</v>
      </c>
      <c r="W511" s="768">
        <v>1165</v>
      </c>
      <c r="X511" s="768"/>
      <c r="Y511" s="671"/>
      <c r="Z511" s="671"/>
      <c r="AA511" s="671"/>
      <c r="AB511" s="671" t="s">
        <v>3790</v>
      </c>
      <c r="AC511" s="671" t="s">
        <v>3714</v>
      </c>
      <c r="AD511" s="671"/>
      <c r="AE511" s="768"/>
      <c r="AF511" s="768"/>
      <c r="AG511" s="768"/>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1:76" x14ac:dyDescent="0.2">
      <c r="A512" s="671" t="s">
        <v>3100</v>
      </c>
      <c r="B512" s="671" t="s">
        <v>2799</v>
      </c>
      <c r="C512" s="671" t="s">
        <v>3679</v>
      </c>
      <c r="D512" s="671"/>
      <c r="E512" s="671"/>
      <c r="F512" s="768">
        <v>29670</v>
      </c>
      <c r="G512" s="671"/>
      <c r="H512" s="671"/>
      <c r="I512" s="671">
        <v>5.9</v>
      </c>
      <c r="J512" s="671" t="s">
        <v>4097</v>
      </c>
      <c r="K512" s="671">
        <v>133</v>
      </c>
      <c r="L512" s="671"/>
      <c r="M512" s="671" t="s">
        <v>3140</v>
      </c>
      <c r="N512" s="671">
        <v>5</v>
      </c>
      <c r="O512" s="671">
        <v>63</v>
      </c>
      <c r="P512" s="671"/>
      <c r="Q512" s="768">
        <v>85</v>
      </c>
      <c r="R512" s="671"/>
      <c r="S512" s="671" t="s">
        <v>2785</v>
      </c>
      <c r="T512" s="768">
        <v>4050</v>
      </c>
      <c r="U512" s="768">
        <v>1988</v>
      </c>
      <c r="V512" s="768">
        <v>1440</v>
      </c>
      <c r="W512" s="768">
        <v>1277</v>
      </c>
      <c r="X512" s="768" t="s">
        <v>3270</v>
      </c>
      <c r="Y512" s="671" t="s">
        <v>3773</v>
      </c>
      <c r="Z512" s="671"/>
      <c r="AA512" s="671"/>
      <c r="AB512" s="671" t="s">
        <v>3658</v>
      </c>
      <c r="AC512" s="671" t="s">
        <v>3791</v>
      </c>
      <c r="AD512" s="671"/>
      <c r="AE512" s="768"/>
      <c r="AF512" s="768" t="s">
        <v>3269</v>
      </c>
      <c r="AG512" s="768" t="s">
        <v>3106</v>
      </c>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1:76" x14ac:dyDescent="0.2">
      <c r="A513" s="671" t="s">
        <v>2540</v>
      </c>
      <c r="B513" s="671" t="s">
        <v>3676</v>
      </c>
      <c r="C513" s="671" t="s">
        <v>3612</v>
      </c>
      <c r="D513" s="671"/>
      <c r="E513" s="671"/>
      <c r="F513" s="768">
        <v>32590</v>
      </c>
      <c r="G513" s="671"/>
      <c r="H513" s="671"/>
      <c r="I513" s="671">
        <v>5.8</v>
      </c>
      <c r="J513" s="671" t="s">
        <v>4097</v>
      </c>
      <c r="K513" s="671">
        <v>133</v>
      </c>
      <c r="L513" s="671"/>
      <c r="M513" s="671" t="s">
        <v>3573</v>
      </c>
      <c r="N513" s="671">
        <v>5</v>
      </c>
      <c r="O513" s="671">
        <v>63</v>
      </c>
      <c r="P513" s="671"/>
      <c r="Q513" s="768">
        <v>85</v>
      </c>
      <c r="R513" s="671"/>
      <c r="S513" s="671" t="s">
        <v>2785</v>
      </c>
      <c r="T513" s="768">
        <v>4040</v>
      </c>
      <c r="U513" s="768">
        <v>1735</v>
      </c>
      <c r="V513" s="768">
        <v>1476</v>
      </c>
      <c r="W513" s="768">
        <v>1194</v>
      </c>
      <c r="X513" s="768"/>
      <c r="Y513" s="671"/>
      <c r="Z513" s="671"/>
      <c r="AA513" s="671"/>
      <c r="AB513" s="671" t="s">
        <v>2778</v>
      </c>
      <c r="AC513" s="671" t="s">
        <v>3792</v>
      </c>
      <c r="AD513" s="671" t="s">
        <v>3793</v>
      </c>
      <c r="AE513" s="768"/>
      <c r="AF513" s="768" t="s">
        <v>3191</v>
      </c>
      <c r="AG513" s="768" t="s">
        <v>2781</v>
      </c>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1:76" x14ac:dyDescent="0.2">
      <c r="A514" s="671" t="s">
        <v>2997</v>
      </c>
      <c r="B514" s="671" t="s">
        <v>2941</v>
      </c>
      <c r="C514" s="671" t="s">
        <v>2946</v>
      </c>
      <c r="D514" s="671" t="s">
        <v>2911</v>
      </c>
      <c r="E514" s="671"/>
      <c r="F514" s="768">
        <v>23600</v>
      </c>
      <c r="G514" s="671"/>
      <c r="H514" s="671"/>
      <c r="I514" s="671">
        <v>5.9</v>
      </c>
      <c r="J514" s="671" t="s">
        <v>4097</v>
      </c>
      <c r="K514" s="671">
        <v>134</v>
      </c>
      <c r="L514" s="671"/>
      <c r="M514" s="671" t="s">
        <v>3616</v>
      </c>
      <c r="N514" s="671">
        <v>5</v>
      </c>
      <c r="O514" s="671">
        <v>77</v>
      </c>
      <c r="P514" s="671"/>
      <c r="Q514" s="768">
        <v>105</v>
      </c>
      <c r="R514" s="671"/>
      <c r="S514" s="671" t="s">
        <v>2785</v>
      </c>
      <c r="T514" s="768">
        <v>4370</v>
      </c>
      <c r="U514" s="768">
        <v>2042</v>
      </c>
      <c r="V514" s="768">
        <v>1485</v>
      </c>
      <c r="W514" s="768">
        <v>1371</v>
      </c>
      <c r="X514" s="768" t="s">
        <v>3287</v>
      </c>
      <c r="Y514" s="671" t="s">
        <v>3774</v>
      </c>
      <c r="Z514" s="671"/>
      <c r="AA514" s="671"/>
      <c r="AB514" s="671" t="s">
        <v>3654</v>
      </c>
      <c r="AC514" s="671" t="s">
        <v>3655</v>
      </c>
      <c r="AD514" s="671"/>
      <c r="AE514" s="768"/>
      <c r="AF514" s="768"/>
      <c r="AG514" s="768"/>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1:76" x14ac:dyDescent="0.2">
      <c r="A515" s="671" t="s">
        <v>2992</v>
      </c>
      <c r="B515" s="671" t="s">
        <v>2790</v>
      </c>
      <c r="C515" s="671" t="s">
        <v>3092</v>
      </c>
      <c r="D515" s="671"/>
      <c r="E515" s="671"/>
      <c r="F515" s="768">
        <v>19290</v>
      </c>
      <c r="G515" s="671"/>
      <c r="H515" s="671"/>
      <c r="I515" s="671">
        <v>5.9</v>
      </c>
      <c r="J515" s="671" t="s">
        <v>4097</v>
      </c>
      <c r="K515" s="671">
        <v>135</v>
      </c>
      <c r="L515" s="671"/>
      <c r="M515" s="671" t="s">
        <v>3140</v>
      </c>
      <c r="N515" s="671">
        <v>5</v>
      </c>
      <c r="O515" s="671">
        <v>85</v>
      </c>
      <c r="P515" s="671"/>
      <c r="Q515" s="768">
        <v>115</v>
      </c>
      <c r="R515" s="671"/>
      <c r="S515" s="671" t="s">
        <v>2785</v>
      </c>
      <c r="T515" s="768">
        <v>4313</v>
      </c>
      <c r="U515" s="768">
        <v>1785</v>
      </c>
      <c r="V515" s="768">
        <v>1426</v>
      </c>
      <c r="W515" s="768">
        <v>1360</v>
      </c>
      <c r="X515" s="768" t="s">
        <v>3775</v>
      </c>
      <c r="Y515" s="671" t="s">
        <v>3776</v>
      </c>
      <c r="Z515" s="671"/>
      <c r="AA515" s="671"/>
      <c r="AB515" s="671" t="s">
        <v>3794</v>
      </c>
      <c r="AC515" s="671"/>
      <c r="AD515" s="671"/>
      <c r="AE515" s="768"/>
      <c r="AF515" s="768"/>
      <c r="AG515" s="768"/>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1:76" x14ac:dyDescent="0.2">
      <c r="A516" s="671" t="s">
        <v>2988</v>
      </c>
      <c r="B516" s="671" t="s">
        <v>2791</v>
      </c>
      <c r="C516" s="671" t="s">
        <v>3201</v>
      </c>
      <c r="D516" s="671" t="s">
        <v>3610</v>
      </c>
      <c r="E516" s="671"/>
      <c r="F516" s="768">
        <v>30730</v>
      </c>
      <c r="G516" s="671"/>
      <c r="H516" s="671"/>
      <c r="I516" s="671">
        <v>6.1</v>
      </c>
      <c r="J516" s="671" t="s">
        <v>4097</v>
      </c>
      <c r="K516" s="671">
        <v>138</v>
      </c>
      <c r="L516" s="671"/>
      <c r="M516" s="671" t="s">
        <v>3140</v>
      </c>
      <c r="N516" s="671">
        <v>5</v>
      </c>
      <c r="O516" s="671">
        <v>55</v>
      </c>
      <c r="P516" s="671"/>
      <c r="Q516" s="768">
        <v>75</v>
      </c>
      <c r="R516" s="671"/>
      <c r="S516" s="671" t="s">
        <v>2762</v>
      </c>
      <c r="T516" s="768">
        <v>4069</v>
      </c>
      <c r="U516" s="768">
        <v>1994</v>
      </c>
      <c r="V516" s="768">
        <v>1555</v>
      </c>
      <c r="W516" s="768">
        <v>1190</v>
      </c>
      <c r="X516" s="768" t="s">
        <v>3777</v>
      </c>
      <c r="Y516" s="671" t="s">
        <v>3778</v>
      </c>
      <c r="Z516" s="671"/>
      <c r="AA516" s="671"/>
      <c r="AB516" s="671" t="s">
        <v>3707</v>
      </c>
      <c r="AC516" s="671" t="s">
        <v>3708</v>
      </c>
      <c r="AD516" s="671"/>
      <c r="AE516" s="768"/>
      <c r="AF516" s="768"/>
      <c r="AG516" s="768"/>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1:76" x14ac:dyDescent="0.2">
      <c r="A517" s="671" t="s">
        <v>2990</v>
      </c>
      <c r="B517" s="671" t="s">
        <v>3677</v>
      </c>
      <c r="C517" s="671" t="s">
        <v>3169</v>
      </c>
      <c r="D517" s="671"/>
      <c r="E517" s="671"/>
      <c r="F517" s="768">
        <v>22290</v>
      </c>
      <c r="G517" s="671"/>
      <c r="H517" s="671"/>
      <c r="I517" s="671">
        <v>6.2</v>
      </c>
      <c r="J517" s="671" t="s">
        <v>4097</v>
      </c>
      <c r="K517" s="671">
        <v>140</v>
      </c>
      <c r="L517" s="671"/>
      <c r="M517" s="671" t="s">
        <v>3573</v>
      </c>
      <c r="N517" s="671">
        <v>5</v>
      </c>
      <c r="O517" s="671">
        <v>70</v>
      </c>
      <c r="P517" s="671"/>
      <c r="Q517" s="768">
        <v>95</v>
      </c>
      <c r="R517" s="671"/>
      <c r="S517" s="671" t="s">
        <v>2785</v>
      </c>
      <c r="T517" s="768">
        <v>4378</v>
      </c>
      <c r="U517" s="768">
        <v>1825</v>
      </c>
      <c r="V517" s="768">
        <v>1454</v>
      </c>
      <c r="W517" s="768">
        <v>1363</v>
      </c>
      <c r="X517" s="768" t="s">
        <v>3262</v>
      </c>
      <c r="Y517" s="671" t="s">
        <v>3779</v>
      </c>
      <c r="Z517" s="671" t="s">
        <v>3273</v>
      </c>
      <c r="AA517" s="671" t="s">
        <v>3780</v>
      </c>
      <c r="AB517" s="671" t="s">
        <v>2778</v>
      </c>
      <c r="AC517" s="671" t="s">
        <v>3795</v>
      </c>
      <c r="AD517" s="671" t="s">
        <v>3059</v>
      </c>
      <c r="AE517" s="768" t="s">
        <v>3796</v>
      </c>
      <c r="AF517" s="768" t="s">
        <v>3799</v>
      </c>
      <c r="AG517" s="768" t="s">
        <v>2781</v>
      </c>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1:76" x14ac:dyDescent="0.2">
      <c r="A518" s="671" t="s">
        <v>2991</v>
      </c>
      <c r="B518" s="671" t="s">
        <v>3678</v>
      </c>
      <c r="C518" s="671" t="s">
        <v>3172</v>
      </c>
      <c r="D518" s="671"/>
      <c r="E518" s="671"/>
      <c r="F518" s="768">
        <v>33840</v>
      </c>
      <c r="G518" s="671"/>
      <c r="H518" s="671"/>
      <c r="I518" s="671">
        <v>6.2</v>
      </c>
      <c r="J518" s="671" t="s">
        <v>4097</v>
      </c>
      <c r="K518" s="671">
        <v>141</v>
      </c>
      <c r="L518" s="671"/>
      <c r="M518" s="671" t="s">
        <v>3140</v>
      </c>
      <c r="N518" s="671">
        <v>5</v>
      </c>
      <c r="O518" s="671">
        <v>85</v>
      </c>
      <c r="P518" s="671"/>
      <c r="Q518" s="768">
        <v>115</v>
      </c>
      <c r="R518" s="671"/>
      <c r="S518" s="671" t="s">
        <v>2785</v>
      </c>
      <c r="T518" s="768">
        <v>4359</v>
      </c>
      <c r="U518" s="768">
        <v>2058</v>
      </c>
      <c r="V518" s="768">
        <v>1447</v>
      </c>
      <c r="W518" s="768">
        <v>1315</v>
      </c>
      <c r="X518" s="768"/>
      <c r="Y518" s="671"/>
      <c r="Z518" s="671"/>
      <c r="AA518" s="671"/>
      <c r="AB518" s="671" t="s">
        <v>3658</v>
      </c>
      <c r="AC518" s="671" t="s">
        <v>3797</v>
      </c>
      <c r="AD518" s="671"/>
      <c r="AE518" s="768"/>
      <c r="AF518" s="768"/>
      <c r="AG518" s="768"/>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1:76" x14ac:dyDescent="0.2">
      <c r="A519" s="671" t="s">
        <v>2997</v>
      </c>
      <c r="B519" s="671">
        <v>508</v>
      </c>
      <c r="C519" s="671" t="s">
        <v>3244</v>
      </c>
      <c r="D519" s="671"/>
      <c r="E519" s="671"/>
      <c r="F519" s="768">
        <v>42250</v>
      </c>
      <c r="G519" s="671"/>
      <c r="H519" s="671"/>
      <c r="I519" s="671">
        <v>6.5</v>
      </c>
      <c r="J519" s="671" t="s">
        <v>4097</v>
      </c>
      <c r="K519" s="671">
        <v>145</v>
      </c>
      <c r="L519" s="671"/>
      <c r="M519" s="671" t="s">
        <v>3616</v>
      </c>
      <c r="N519" s="671">
        <v>5</v>
      </c>
      <c r="O519" s="671">
        <v>85</v>
      </c>
      <c r="P519" s="671"/>
      <c r="Q519" s="768">
        <v>115</v>
      </c>
      <c r="R519" s="671"/>
      <c r="S519" s="671" t="s">
        <v>2785</v>
      </c>
      <c r="T519" s="768">
        <v>4319</v>
      </c>
      <c r="U519" s="768">
        <v>1799</v>
      </c>
      <c r="V519" s="768">
        <v>1434</v>
      </c>
      <c r="W519" s="768">
        <v>1375</v>
      </c>
      <c r="X519" s="768" t="s">
        <v>3781</v>
      </c>
      <c r="Y519" s="671" t="s">
        <v>3782</v>
      </c>
      <c r="Z519" s="671"/>
      <c r="AA519" s="671"/>
      <c r="AB519" s="671"/>
      <c r="AC519" s="671"/>
      <c r="AD519" s="671"/>
      <c r="AE519" s="768"/>
      <c r="AF519" s="768"/>
      <c r="AG519" s="768"/>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1:76" x14ac:dyDescent="0.2">
      <c r="A520" s="115" t="s">
        <v>2983</v>
      </c>
      <c r="B520" s="671" t="s">
        <v>3222</v>
      </c>
      <c r="C520" s="671" t="s">
        <v>3715</v>
      </c>
      <c r="D520" s="671"/>
      <c r="E520" s="671"/>
      <c r="F520" s="768">
        <v>16390</v>
      </c>
      <c r="G520" s="671"/>
      <c r="H520" s="115"/>
      <c r="I520" s="671">
        <v>5.6</v>
      </c>
      <c r="J520" s="671" t="s">
        <v>4097</v>
      </c>
      <c r="K520" s="671">
        <v>126</v>
      </c>
      <c r="L520" s="671"/>
      <c r="M520" s="671" t="s">
        <v>3140</v>
      </c>
      <c r="N520" s="671">
        <v>5</v>
      </c>
      <c r="O520" s="671">
        <v>75</v>
      </c>
      <c r="P520" s="671"/>
      <c r="Q520" s="768">
        <v>102</v>
      </c>
      <c r="R520" s="671"/>
      <c r="S520" s="671" t="s">
        <v>2785</v>
      </c>
      <c r="T520" s="768">
        <v>4170</v>
      </c>
      <c r="U520" s="768">
        <v>1979</v>
      </c>
      <c r="V520" s="768">
        <v>1480</v>
      </c>
      <c r="W520" s="768">
        <v>1148</v>
      </c>
      <c r="X520" s="768" t="s">
        <v>3086</v>
      </c>
      <c r="Y520" s="671" t="s">
        <v>3783</v>
      </c>
      <c r="Z520" s="671"/>
      <c r="AA520" s="671"/>
      <c r="AB520" s="671" t="s">
        <v>3259</v>
      </c>
      <c r="AC520" s="671"/>
      <c r="AD520" s="671"/>
      <c r="AE520" s="768"/>
      <c r="AF520" s="768"/>
      <c r="AG520" s="768"/>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1:76" x14ac:dyDescent="0.2">
      <c r="A521" s="671" t="s">
        <v>3110</v>
      </c>
      <c r="B521" s="671" t="s">
        <v>3225</v>
      </c>
      <c r="C521" s="671" t="s">
        <v>3111</v>
      </c>
      <c r="D521" s="671"/>
      <c r="E521" s="671"/>
      <c r="F521" s="768">
        <v>16690</v>
      </c>
      <c r="G521" s="671"/>
      <c r="H521" s="115"/>
      <c r="I521" s="671">
        <v>5.6</v>
      </c>
      <c r="J521" s="671" t="s">
        <v>4097</v>
      </c>
      <c r="K521" s="671">
        <v>128</v>
      </c>
      <c r="L521" s="671"/>
      <c r="M521" s="671" t="s">
        <v>3573</v>
      </c>
      <c r="N521" s="671">
        <v>5</v>
      </c>
      <c r="O521" s="671">
        <v>88</v>
      </c>
      <c r="P521" s="671"/>
      <c r="Q521" s="768">
        <v>120</v>
      </c>
      <c r="R521" s="671"/>
      <c r="S521" s="671" t="s">
        <v>2785</v>
      </c>
      <c r="T521" s="768">
        <v>4186</v>
      </c>
      <c r="U521" s="768">
        <v>1930</v>
      </c>
      <c r="V521" s="768">
        <v>1536</v>
      </c>
      <c r="W521" s="768">
        <v>1280</v>
      </c>
      <c r="X521" s="768"/>
      <c r="Y521" s="671"/>
      <c r="Z521" s="671"/>
      <c r="AA521" s="671"/>
      <c r="AB521" s="671" t="s">
        <v>3652</v>
      </c>
      <c r="AC521" s="671"/>
      <c r="AD521" s="671"/>
      <c r="AE521" s="768"/>
      <c r="AF521" s="768"/>
      <c r="AG521" s="768"/>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1:76" x14ac:dyDescent="0.2">
      <c r="A522" s="671" t="s">
        <v>3087</v>
      </c>
      <c r="B522" s="671" t="s">
        <v>3088</v>
      </c>
      <c r="C522" s="671" t="s">
        <v>3567</v>
      </c>
      <c r="D522" s="671"/>
      <c r="E522" s="671"/>
      <c r="F522" s="768">
        <v>7790</v>
      </c>
      <c r="G522" s="671"/>
      <c r="H522" s="115"/>
      <c r="I522" s="671">
        <v>5.7</v>
      </c>
      <c r="J522" s="671" t="s">
        <v>4097</v>
      </c>
      <c r="K522" s="671">
        <v>129</v>
      </c>
      <c r="L522" s="671"/>
      <c r="M522" s="671" t="s">
        <v>3572</v>
      </c>
      <c r="N522" s="671">
        <v>5</v>
      </c>
      <c r="O522" s="671">
        <v>85</v>
      </c>
      <c r="P522" s="671"/>
      <c r="Q522" s="768">
        <v>115</v>
      </c>
      <c r="R522" s="671"/>
      <c r="S522" s="671" t="s">
        <v>2785</v>
      </c>
      <c r="T522" s="768">
        <v>4340</v>
      </c>
      <c r="U522" s="768">
        <v>1795</v>
      </c>
      <c r="V522" s="768">
        <v>1455</v>
      </c>
      <c r="W522" s="768">
        <v>1313</v>
      </c>
      <c r="X522" s="768"/>
      <c r="Y522" s="671"/>
      <c r="Z522" s="671"/>
      <c r="AA522" s="671"/>
      <c r="AB522" s="671" t="s">
        <v>3219</v>
      </c>
      <c r="AC522" s="671"/>
      <c r="AD522" s="671"/>
      <c r="AE522" s="768"/>
      <c r="AF522" s="768" t="s">
        <v>3079</v>
      </c>
      <c r="AG522" s="768" t="s">
        <v>2781</v>
      </c>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1:76" x14ac:dyDescent="0.2">
      <c r="A523" s="671" t="s">
        <v>2985</v>
      </c>
      <c r="B523" s="671" t="s">
        <v>3093</v>
      </c>
      <c r="C523" s="671" t="s">
        <v>3143</v>
      </c>
      <c r="D523" s="671"/>
      <c r="E523" s="671"/>
      <c r="F523" s="768">
        <v>12100</v>
      </c>
      <c r="G523" s="671"/>
      <c r="H523" s="115"/>
      <c r="I523" s="671">
        <v>5.7</v>
      </c>
      <c r="J523" s="671" t="s">
        <v>4097</v>
      </c>
      <c r="K523" s="671">
        <v>133</v>
      </c>
      <c r="L523" s="671"/>
      <c r="M523" s="671" t="s">
        <v>3573</v>
      </c>
      <c r="N523" s="671">
        <v>5</v>
      </c>
      <c r="O523" s="671">
        <v>70</v>
      </c>
      <c r="P523" s="671"/>
      <c r="Q523" s="768">
        <v>95</v>
      </c>
      <c r="R523" s="671"/>
      <c r="S523" s="671" t="s">
        <v>2785</v>
      </c>
      <c r="T523" s="768">
        <v>4419</v>
      </c>
      <c r="U523" s="768">
        <v>1796</v>
      </c>
      <c r="V523" s="768">
        <v>1440</v>
      </c>
      <c r="W523" s="768">
        <v>1425</v>
      </c>
      <c r="X523" s="768" t="s">
        <v>3784</v>
      </c>
      <c r="Y523" s="671" t="s">
        <v>3785</v>
      </c>
      <c r="Z523" s="671" t="s">
        <v>3786</v>
      </c>
      <c r="AA523" s="671" t="s">
        <v>3787</v>
      </c>
      <c r="AB523" s="671"/>
      <c r="AC523" s="671"/>
      <c r="AD523" s="671"/>
      <c r="AE523" s="768"/>
      <c r="AF523" s="768"/>
      <c r="AG523" s="768"/>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1:76" x14ac:dyDescent="0.2">
      <c r="A524" s="671" t="s">
        <v>2540</v>
      </c>
      <c r="B524" s="671" t="s">
        <v>3224</v>
      </c>
      <c r="C524" s="671" t="s">
        <v>2915</v>
      </c>
      <c r="D524" s="671"/>
      <c r="E524" s="671"/>
      <c r="F524" s="768">
        <v>19790</v>
      </c>
      <c r="G524" s="671"/>
      <c r="H524" s="115"/>
      <c r="I524" s="671">
        <v>5.9</v>
      </c>
      <c r="J524" s="671" t="s">
        <v>4097</v>
      </c>
      <c r="K524" s="671">
        <v>133</v>
      </c>
      <c r="L524" s="671"/>
      <c r="M524" s="671" t="s">
        <v>3140</v>
      </c>
      <c r="N524" s="671">
        <v>5</v>
      </c>
      <c r="O524" s="671">
        <v>75</v>
      </c>
      <c r="P524" s="671"/>
      <c r="Q524" s="768">
        <v>102</v>
      </c>
      <c r="R524" s="671"/>
      <c r="S524" s="671" t="s">
        <v>2785</v>
      </c>
      <c r="T524" s="768">
        <v>4253</v>
      </c>
      <c r="U524" s="768">
        <v>2043</v>
      </c>
      <c r="V524" s="768">
        <v>1457</v>
      </c>
      <c r="W524" s="768">
        <v>1205</v>
      </c>
      <c r="X524" s="768" t="s">
        <v>3263</v>
      </c>
      <c r="Y524" s="671" t="s">
        <v>3788</v>
      </c>
      <c r="Z524" s="671"/>
      <c r="AA524" s="671"/>
      <c r="AB524" s="671" t="s">
        <v>3267</v>
      </c>
      <c r="AC524" s="671" t="s">
        <v>3798</v>
      </c>
      <c r="AD524" s="671"/>
      <c r="AE524" s="768"/>
      <c r="AF524" s="768"/>
      <c r="AG524" s="768"/>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1:76" x14ac:dyDescent="0.2">
      <c r="A525" s="671" t="s">
        <v>2995</v>
      </c>
      <c r="B525" s="671" t="s">
        <v>3226</v>
      </c>
      <c r="C525" s="671" t="s">
        <v>3167</v>
      </c>
      <c r="D525" s="671"/>
      <c r="E525" s="671"/>
      <c r="F525" s="768">
        <v>20300</v>
      </c>
      <c r="G525" s="671"/>
      <c r="H525" s="115"/>
      <c r="I525" s="671">
        <v>5.9</v>
      </c>
      <c r="J525" s="671" t="s">
        <v>4097</v>
      </c>
      <c r="K525" s="671">
        <v>134</v>
      </c>
      <c r="L525" s="671"/>
      <c r="M525" s="671" t="s">
        <v>3616</v>
      </c>
      <c r="N525" s="671">
        <v>5</v>
      </c>
      <c r="O525" s="671">
        <v>77</v>
      </c>
      <c r="P525" s="671"/>
      <c r="Q525" s="671">
        <v>105</v>
      </c>
      <c r="R525" s="671"/>
      <c r="S525" s="768" t="s">
        <v>2785</v>
      </c>
      <c r="T525" s="768">
        <v>4702</v>
      </c>
      <c r="U525" s="768">
        <v>2042</v>
      </c>
      <c r="V525" s="768">
        <v>1485</v>
      </c>
      <c r="W525" s="768">
        <v>1395</v>
      </c>
      <c r="X525" s="768" t="s">
        <v>3287</v>
      </c>
      <c r="Y525" s="768" t="s">
        <v>3774</v>
      </c>
      <c r="Z525" s="768"/>
      <c r="AA525" s="671"/>
      <c r="AB525" s="671" t="s">
        <v>3836</v>
      </c>
      <c r="AC525" s="671" t="s">
        <v>3837</v>
      </c>
      <c r="AD525" s="671" t="s">
        <v>3221</v>
      </c>
      <c r="AE525" s="671"/>
      <c r="AF525" s="671"/>
      <c r="AG525" s="768"/>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1:76" x14ac:dyDescent="0.2">
      <c r="A526" s="671" t="s">
        <v>2992</v>
      </c>
      <c r="B526" s="671" t="s">
        <v>2798</v>
      </c>
      <c r="C526" s="671" t="s">
        <v>3199</v>
      </c>
      <c r="D526" s="671"/>
      <c r="E526" s="671"/>
      <c r="F526" s="768">
        <v>18540</v>
      </c>
      <c r="G526" s="671"/>
      <c r="H526" s="115"/>
      <c r="I526" s="671">
        <v>5.9</v>
      </c>
      <c r="J526" s="671" t="s">
        <v>4097</v>
      </c>
      <c r="K526" s="671">
        <v>134</v>
      </c>
      <c r="L526" s="671"/>
      <c r="M526" s="671" t="s">
        <v>3573</v>
      </c>
      <c r="N526" s="671">
        <v>5</v>
      </c>
      <c r="O526" s="671">
        <v>85</v>
      </c>
      <c r="P526" s="671"/>
      <c r="Q526" s="671">
        <v>116</v>
      </c>
      <c r="R526" s="671"/>
      <c r="S526" s="768" t="s">
        <v>2785</v>
      </c>
      <c r="T526" s="768">
        <v>4689</v>
      </c>
      <c r="U526" s="768">
        <v>1994</v>
      </c>
      <c r="V526" s="768">
        <v>1468</v>
      </c>
      <c r="W526" s="768">
        <v>1370</v>
      </c>
      <c r="X526" s="768" t="s">
        <v>2831</v>
      </c>
      <c r="Y526" s="768" t="s">
        <v>3812</v>
      </c>
      <c r="Z526" s="768"/>
      <c r="AA526" s="671"/>
      <c r="AB526" s="671" t="s">
        <v>3702</v>
      </c>
      <c r="AC526" s="671"/>
      <c r="AD526" s="671"/>
      <c r="AE526" s="671"/>
      <c r="AF526" s="671"/>
      <c r="AG526" s="768"/>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1:76" x14ac:dyDescent="0.2">
      <c r="A527" s="671" t="s">
        <v>2996</v>
      </c>
      <c r="B527" s="671" t="s">
        <v>3102</v>
      </c>
      <c r="C527" s="671" t="s">
        <v>3584</v>
      </c>
      <c r="D527" s="671"/>
      <c r="E527" s="671"/>
      <c r="F527" s="768">
        <v>19600</v>
      </c>
      <c r="G527" s="671"/>
      <c r="H527" s="115"/>
      <c r="I527" s="671">
        <v>5.9</v>
      </c>
      <c r="J527" s="671" t="s">
        <v>4097</v>
      </c>
      <c r="K527" s="671">
        <v>135</v>
      </c>
      <c r="L527" s="671"/>
      <c r="M527" s="671" t="s">
        <v>3572</v>
      </c>
      <c r="N527" s="671">
        <v>5</v>
      </c>
      <c r="O527" s="671">
        <v>85</v>
      </c>
      <c r="P527" s="671"/>
      <c r="Q527" s="671">
        <v>116</v>
      </c>
      <c r="R527" s="671"/>
      <c r="S527" s="768" t="s">
        <v>2785</v>
      </c>
      <c r="T527" s="768">
        <v>4585</v>
      </c>
      <c r="U527" s="768">
        <v>2039</v>
      </c>
      <c r="V527" s="768">
        <v>1465</v>
      </c>
      <c r="W527" s="768">
        <v>1370</v>
      </c>
      <c r="X527" s="768" t="s">
        <v>2952</v>
      </c>
      <c r="Y527" s="768" t="s">
        <v>3813</v>
      </c>
      <c r="Z527" s="768"/>
      <c r="AA527" s="671"/>
      <c r="AB527" s="671" t="s">
        <v>3219</v>
      </c>
      <c r="AC527" s="671"/>
      <c r="AD527" s="671"/>
      <c r="AE527" s="671"/>
      <c r="AF527" s="671"/>
      <c r="AG527" s="768"/>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1:76" x14ac:dyDescent="0.2">
      <c r="A528" s="671" t="s">
        <v>2989</v>
      </c>
      <c r="B528" s="671" t="s">
        <v>3223</v>
      </c>
      <c r="C528" s="671" t="s">
        <v>2944</v>
      </c>
      <c r="D528" s="671" t="s">
        <v>3139</v>
      </c>
      <c r="E528" s="671"/>
      <c r="F528" s="768">
        <v>20320</v>
      </c>
      <c r="G528" s="671"/>
      <c r="H528" s="115"/>
      <c r="I528" s="671">
        <v>6.2</v>
      </c>
      <c r="J528" s="671" t="s">
        <v>4097</v>
      </c>
      <c r="K528" s="671">
        <v>141</v>
      </c>
      <c r="L528" s="671"/>
      <c r="M528" s="671" t="s">
        <v>3573</v>
      </c>
      <c r="N528" s="671">
        <v>5</v>
      </c>
      <c r="O528" s="671">
        <v>85</v>
      </c>
      <c r="P528" s="671"/>
      <c r="Q528" s="671">
        <v>116</v>
      </c>
      <c r="R528" s="671"/>
      <c r="S528" s="768" t="s">
        <v>2785</v>
      </c>
      <c r="T528" s="768">
        <v>4688</v>
      </c>
      <c r="U528" s="768">
        <v>1830</v>
      </c>
      <c r="V528" s="768">
        <v>1439</v>
      </c>
      <c r="W528" s="768">
        <v>1470</v>
      </c>
      <c r="X528" s="768" t="s">
        <v>3814</v>
      </c>
      <c r="Y528" s="768" t="s">
        <v>3787</v>
      </c>
      <c r="Z528" s="768" t="s">
        <v>3274</v>
      </c>
      <c r="AA528" s="671" t="s">
        <v>3815</v>
      </c>
      <c r="AB528" s="671"/>
      <c r="AC528" s="671"/>
      <c r="AD528" s="671"/>
      <c r="AE528" s="671"/>
      <c r="AF528" s="671"/>
      <c r="AG528" s="768"/>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1:76" x14ac:dyDescent="0.2">
      <c r="A529" s="671" t="s">
        <v>3096</v>
      </c>
      <c r="B529" s="671" t="s">
        <v>3227</v>
      </c>
      <c r="C529" s="671" t="s">
        <v>3229</v>
      </c>
      <c r="D529" s="671"/>
      <c r="E529" s="671"/>
      <c r="F529" s="768">
        <v>20690</v>
      </c>
      <c r="G529" s="671"/>
      <c r="H529" s="115"/>
      <c r="I529" s="671">
        <v>6.2</v>
      </c>
      <c r="J529" s="671" t="s">
        <v>4097</v>
      </c>
      <c r="K529" s="671">
        <v>142</v>
      </c>
      <c r="L529" s="671"/>
      <c r="M529" s="671" t="s">
        <v>3140</v>
      </c>
      <c r="N529" s="671">
        <v>5</v>
      </c>
      <c r="O529" s="671">
        <v>85</v>
      </c>
      <c r="P529" s="671"/>
      <c r="Q529" s="671">
        <v>116</v>
      </c>
      <c r="R529" s="671"/>
      <c r="S529" s="768" t="s">
        <v>2785</v>
      </c>
      <c r="T529" s="768">
        <v>4626</v>
      </c>
      <c r="U529" s="768">
        <v>2058</v>
      </c>
      <c r="V529" s="768">
        <v>1449</v>
      </c>
      <c r="W529" s="768">
        <v>1315</v>
      </c>
      <c r="X529" s="768"/>
      <c r="Y529" s="768"/>
      <c r="Z529" s="768"/>
      <c r="AA529" s="671"/>
      <c r="AB529" s="671" t="s">
        <v>3275</v>
      </c>
      <c r="AC529" s="671" t="s">
        <v>3276</v>
      </c>
      <c r="AD529" s="671"/>
      <c r="AE529" s="671"/>
      <c r="AF529" s="671"/>
      <c r="AG529" s="768"/>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1:76" x14ac:dyDescent="0.2">
      <c r="A530" s="671" t="s">
        <v>2983</v>
      </c>
      <c r="B530" s="671" t="s">
        <v>3118</v>
      </c>
      <c r="C530" s="671" t="s">
        <v>3716</v>
      </c>
      <c r="D530" s="671"/>
      <c r="E530" s="671"/>
      <c r="F530" s="768">
        <v>26490</v>
      </c>
      <c r="G530" s="671"/>
      <c r="H530" s="115"/>
      <c r="I530" s="671">
        <v>7.4</v>
      </c>
      <c r="J530" s="671" t="s">
        <v>4097</v>
      </c>
      <c r="K530" s="671">
        <v>167</v>
      </c>
      <c r="L530" s="671"/>
      <c r="M530" s="671" t="s">
        <v>3573</v>
      </c>
      <c r="N530" s="671">
        <v>5</v>
      </c>
      <c r="O530" s="671">
        <v>70</v>
      </c>
      <c r="P530" s="671"/>
      <c r="Q530" s="671">
        <v>95</v>
      </c>
      <c r="R530" s="671"/>
      <c r="S530" s="768" t="s">
        <v>2785</v>
      </c>
      <c r="T530" s="768">
        <v>4668</v>
      </c>
      <c r="U530" s="768">
        <v>1979</v>
      </c>
      <c r="V530" s="768">
        <v>1494</v>
      </c>
      <c r="W530" s="768">
        <v>1413</v>
      </c>
      <c r="X530" s="768" t="s">
        <v>3262</v>
      </c>
      <c r="Y530" s="768" t="s">
        <v>3816</v>
      </c>
      <c r="Z530" s="768" t="s">
        <v>3273</v>
      </c>
      <c r="AA530" s="671" t="s">
        <v>3780</v>
      </c>
      <c r="AB530" s="671" t="s">
        <v>3175</v>
      </c>
      <c r="AC530" s="671" t="s">
        <v>3795</v>
      </c>
      <c r="AD530" s="671" t="s">
        <v>3059</v>
      </c>
      <c r="AE530" s="671" t="s">
        <v>3796</v>
      </c>
      <c r="AF530" s="671"/>
      <c r="AG530" s="768"/>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1:76" x14ac:dyDescent="0.2">
      <c r="A531" s="671" t="s">
        <v>2540</v>
      </c>
      <c r="B531" s="671" t="s">
        <v>2945</v>
      </c>
      <c r="C531" s="671" t="s">
        <v>3243</v>
      </c>
      <c r="D531" s="671"/>
      <c r="E531" s="671"/>
      <c r="F531" s="768">
        <v>27420</v>
      </c>
      <c r="G531" s="671"/>
      <c r="H531" s="671"/>
      <c r="I531" s="671">
        <v>5.9</v>
      </c>
      <c r="J531" s="671" t="s">
        <v>4097</v>
      </c>
      <c r="K531" s="671">
        <v>133</v>
      </c>
      <c r="L531" s="768"/>
      <c r="M531" s="671" t="s">
        <v>3572</v>
      </c>
      <c r="N531" s="671">
        <v>5</v>
      </c>
      <c r="O531" s="671">
        <v>70</v>
      </c>
      <c r="P531" s="671"/>
      <c r="Q531" s="671">
        <v>95</v>
      </c>
      <c r="R531" s="671"/>
      <c r="S531" s="768" t="s">
        <v>2762</v>
      </c>
      <c r="T531" s="768">
        <v>4571</v>
      </c>
      <c r="U531" s="768">
        <v>1792</v>
      </c>
      <c r="V531" s="768">
        <v>1514</v>
      </c>
      <c r="W531" s="768">
        <v>1395</v>
      </c>
      <c r="X531" s="768" t="s">
        <v>3817</v>
      </c>
      <c r="Y531" s="768" t="s">
        <v>3818</v>
      </c>
      <c r="Z531" s="768"/>
      <c r="AA531" s="671"/>
      <c r="AB531" s="671" t="s">
        <v>3838</v>
      </c>
      <c r="AC531" s="671" t="s">
        <v>3839</v>
      </c>
      <c r="AD531" s="671"/>
      <c r="AE531" s="671"/>
      <c r="AF531" s="671"/>
      <c r="AG531" s="768"/>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1:76" x14ac:dyDescent="0.2">
      <c r="A532" s="671" t="s">
        <v>3087</v>
      </c>
      <c r="B532" s="671" t="s">
        <v>3732</v>
      </c>
      <c r="C532" s="671" t="s">
        <v>3199</v>
      </c>
      <c r="D532" s="671"/>
      <c r="E532" s="671"/>
      <c r="F532" s="768">
        <v>12990</v>
      </c>
      <c r="G532" s="671"/>
      <c r="H532" s="671"/>
      <c r="I532" s="671">
        <v>6.1</v>
      </c>
      <c r="J532" s="671" t="s">
        <v>4097</v>
      </c>
      <c r="K532" s="671">
        <v>138</v>
      </c>
      <c r="L532" s="768"/>
      <c r="M532" s="671" t="s">
        <v>3140</v>
      </c>
      <c r="N532" s="671">
        <v>5</v>
      </c>
      <c r="O532" s="671">
        <v>96</v>
      </c>
      <c r="P532" s="671"/>
      <c r="Q532" s="671">
        <v>130</v>
      </c>
      <c r="R532" s="671"/>
      <c r="S532" s="768" t="s">
        <v>2785</v>
      </c>
      <c r="T532" s="768">
        <v>4750</v>
      </c>
      <c r="U532" s="768">
        <v>2079</v>
      </c>
      <c r="V532" s="768">
        <v>1403</v>
      </c>
      <c r="W532" s="768">
        <v>1415</v>
      </c>
      <c r="X532" s="768" t="s">
        <v>3819</v>
      </c>
      <c r="Y532" s="768" t="s">
        <v>3820</v>
      </c>
      <c r="Z532" s="768" t="s">
        <v>3821</v>
      </c>
      <c r="AA532" s="671" t="s">
        <v>3822</v>
      </c>
      <c r="AB532" s="671" t="s">
        <v>3214</v>
      </c>
      <c r="AC532" s="671" t="s">
        <v>3840</v>
      </c>
      <c r="AD532" s="671"/>
      <c r="AE532" s="671"/>
      <c r="AF532" s="671" t="s">
        <v>3079</v>
      </c>
      <c r="AG532" s="768" t="s">
        <v>2781</v>
      </c>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1:76" x14ac:dyDescent="0.2">
      <c r="A533" s="671" t="s">
        <v>2988</v>
      </c>
      <c r="B533" s="671" t="s">
        <v>3236</v>
      </c>
      <c r="C533" s="671" t="s">
        <v>3613</v>
      </c>
      <c r="D533" s="671"/>
      <c r="E533" s="671"/>
      <c r="F533" s="768">
        <v>19839</v>
      </c>
      <c r="G533" s="671"/>
      <c r="H533" s="671"/>
      <c r="I533" s="671">
        <v>6.2</v>
      </c>
      <c r="J533" s="671" t="s">
        <v>4097</v>
      </c>
      <c r="K533" s="671">
        <v>139</v>
      </c>
      <c r="L533" s="671"/>
      <c r="M533" s="671" t="s">
        <v>3140</v>
      </c>
      <c r="N533" s="671">
        <v>5</v>
      </c>
      <c r="O533" s="671">
        <v>88</v>
      </c>
      <c r="P533" s="671"/>
      <c r="Q533" s="671">
        <v>120</v>
      </c>
      <c r="R533" s="671"/>
      <c r="S533" s="768" t="s">
        <v>2785</v>
      </c>
      <c r="T533" s="768">
        <v>4518</v>
      </c>
      <c r="U533" s="768">
        <v>2079</v>
      </c>
      <c r="V533" s="768">
        <v>1434</v>
      </c>
      <c r="W533" s="768">
        <v>1342</v>
      </c>
      <c r="X533" s="768"/>
      <c r="Y533" s="768"/>
      <c r="Z533" s="768"/>
      <c r="AA533" s="671"/>
      <c r="AB533" s="671" t="s">
        <v>3277</v>
      </c>
      <c r="AC533" s="671" t="s">
        <v>3841</v>
      </c>
      <c r="AD533" s="671"/>
      <c r="AE533" s="671"/>
      <c r="AF533" s="671"/>
      <c r="AG533" s="768"/>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1:76" x14ac:dyDescent="0.2">
      <c r="A534" s="671" t="s">
        <v>2991</v>
      </c>
      <c r="B534" s="671" t="s">
        <v>3733</v>
      </c>
      <c r="C534" s="671" t="s">
        <v>2915</v>
      </c>
      <c r="D534" s="671"/>
      <c r="E534" s="671"/>
      <c r="F534" s="768">
        <v>23980</v>
      </c>
      <c r="G534" s="671"/>
      <c r="H534" s="671"/>
      <c r="I534" s="671">
        <v>6.3</v>
      </c>
      <c r="J534" s="671" t="s">
        <v>4097</v>
      </c>
      <c r="K534" s="671">
        <v>142</v>
      </c>
      <c r="L534" s="671"/>
      <c r="M534" s="671" t="s">
        <v>3572</v>
      </c>
      <c r="N534" s="671">
        <v>5</v>
      </c>
      <c r="O534" s="671">
        <v>85</v>
      </c>
      <c r="P534" s="671"/>
      <c r="Q534" s="671">
        <v>116</v>
      </c>
      <c r="R534" s="671"/>
      <c r="S534" s="768" t="s">
        <v>2785</v>
      </c>
      <c r="T534" s="768">
        <v>4600</v>
      </c>
      <c r="U534" s="768">
        <v>1800</v>
      </c>
      <c r="V534" s="768">
        <v>1465</v>
      </c>
      <c r="W534" s="768">
        <v>1350</v>
      </c>
      <c r="X534" s="768" t="s">
        <v>3265</v>
      </c>
      <c r="Y534" s="768" t="s">
        <v>3823</v>
      </c>
      <c r="Z534" s="768"/>
      <c r="AA534" s="671"/>
      <c r="AB534" s="671" t="s">
        <v>3097</v>
      </c>
      <c r="AC534" s="671" t="s">
        <v>3842</v>
      </c>
      <c r="AD534" s="671" t="s">
        <v>3218</v>
      </c>
      <c r="AE534" s="671"/>
      <c r="AF534" s="671"/>
      <c r="AG534" s="768"/>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1:76" x14ac:dyDescent="0.2">
      <c r="A535" s="671" t="s">
        <v>2989</v>
      </c>
      <c r="B535" s="671" t="s">
        <v>3734</v>
      </c>
      <c r="C535" s="671" t="s">
        <v>2946</v>
      </c>
      <c r="D535" s="671" t="s">
        <v>2911</v>
      </c>
      <c r="E535" s="671"/>
      <c r="F535" s="768">
        <v>28550</v>
      </c>
      <c r="G535" s="671"/>
      <c r="H535" s="671"/>
      <c r="I535" s="671">
        <v>6.3</v>
      </c>
      <c r="J535" s="671" t="s">
        <v>4097</v>
      </c>
      <c r="K535" s="671">
        <v>143</v>
      </c>
      <c r="L535" s="671"/>
      <c r="M535" s="671" t="s">
        <v>3140</v>
      </c>
      <c r="N535" s="671">
        <v>5</v>
      </c>
      <c r="O535" s="671">
        <v>90</v>
      </c>
      <c r="P535" s="671"/>
      <c r="Q535" s="671">
        <v>122</v>
      </c>
      <c r="R535" s="671"/>
      <c r="S535" s="768" t="s">
        <v>2785</v>
      </c>
      <c r="T535" s="768">
        <v>4897</v>
      </c>
      <c r="U535" s="768">
        <v>2093</v>
      </c>
      <c r="V535" s="768">
        <v>1455</v>
      </c>
      <c r="W535" s="768">
        <v>1503</v>
      </c>
      <c r="X535" s="768" t="s">
        <v>3824</v>
      </c>
      <c r="Y535" s="768" t="s">
        <v>3825</v>
      </c>
      <c r="Z535" s="768"/>
      <c r="AA535" s="671"/>
      <c r="AB535" s="671" t="s">
        <v>3843</v>
      </c>
      <c r="AC535" s="671" t="s">
        <v>3069</v>
      </c>
      <c r="AD535" s="671"/>
      <c r="AE535" s="671"/>
      <c r="AF535" s="671" t="s">
        <v>3079</v>
      </c>
      <c r="AG535" s="768" t="s">
        <v>2781</v>
      </c>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1:76" x14ac:dyDescent="0.2">
      <c r="A536" s="671" t="s">
        <v>2997</v>
      </c>
      <c r="B536" s="671">
        <v>3008</v>
      </c>
      <c r="C536" s="671" t="s">
        <v>2946</v>
      </c>
      <c r="D536" s="671"/>
      <c r="E536" s="671"/>
      <c r="F536" s="768">
        <v>26790</v>
      </c>
      <c r="G536" s="671"/>
      <c r="H536" s="671"/>
      <c r="I536" s="671">
        <v>6.3</v>
      </c>
      <c r="J536" s="671" t="s">
        <v>4097</v>
      </c>
      <c r="K536" s="671">
        <v>144</v>
      </c>
      <c r="L536" s="671"/>
      <c r="M536" s="671" t="s">
        <v>3140</v>
      </c>
      <c r="N536" s="671">
        <v>5</v>
      </c>
      <c r="O536" s="671">
        <v>96</v>
      </c>
      <c r="P536" s="671"/>
      <c r="Q536" s="671">
        <v>130</v>
      </c>
      <c r="R536" s="671"/>
      <c r="S536" s="768" t="s">
        <v>2785</v>
      </c>
      <c r="T536" s="768">
        <v>4585</v>
      </c>
      <c r="U536" s="768">
        <v>2043</v>
      </c>
      <c r="V536" s="768">
        <v>1472</v>
      </c>
      <c r="W536" s="768">
        <v>1205</v>
      </c>
      <c r="X536" s="768"/>
      <c r="Y536" s="768"/>
      <c r="Z536" s="768"/>
      <c r="AA536" s="671"/>
      <c r="AB536" s="671" t="s">
        <v>3214</v>
      </c>
      <c r="AC536" s="671" t="s">
        <v>3844</v>
      </c>
      <c r="AD536" s="671" t="s">
        <v>2950</v>
      </c>
      <c r="AE536" s="671"/>
      <c r="AF536" s="671"/>
      <c r="AG536" s="768"/>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1:76" x14ac:dyDescent="0.2">
      <c r="A537" s="671" t="s">
        <v>2988</v>
      </c>
      <c r="B537" s="671" t="s">
        <v>3238</v>
      </c>
      <c r="C537" s="671" t="s">
        <v>3169</v>
      </c>
      <c r="D537" s="671"/>
      <c r="E537" s="671"/>
      <c r="F537" s="768">
        <v>26729</v>
      </c>
      <c r="G537" s="671"/>
      <c r="H537" s="671"/>
      <c r="I537" s="671">
        <v>6.4</v>
      </c>
      <c r="J537" s="671" t="s">
        <v>4097</v>
      </c>
      <c r="K537" s="671">
        <v>145</v>
      </c>
      <c r="L537" s="671"/>
      <c r="M537" s="671" t="s">
        <v>3573</v>
      </c>
      <c r="N537" s="671">
        <v>5</v>
      </c>
      <c r="O537" s="671">
        <v>110</v>
      </c>
      <c r="P537" s="671"/>
      <c r="Q537" s="671">
        <v>150</v>
      </c>
      <c r="R537" s="671"/>
      <c r="S537" s="768" t="s">
        <v>2785</v>
      </c>
      <c r="T537" s="768">
        <v>4775</v>
      </c>
      <c r="U537" s="768">
        <v>2083</v>
      </c>
      <c r="V537" s="768">
        <v>1483</v>
      </c>
      <c r="W537" s="768">
        <v>1525</v>
      </c>
      <c r="X537" s="768" t="s">
        <v>2821</v>
      </c>
      <c r="Y537" s="768" t="s">
        <v>3826</v>
      </c>
      <c r="Z537" s="768"/>
      <c r="AA537" s="671"/>
      <c r="AB537" s="671" t="s">
        <v>3709</v>
      </c>
      <c r="AC537" s="671"/>
      <c r="AD537" s="671"/>
      <c r="AE537" s="671"/>
      <c r="AF537" s="671" t="s">
        <v>3846</v>
      </c>
      <c r="AG537" s="768" t="s">
        <v>3108</v>
      </c>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1:76" x14ac:dyDescent="0.2">
      <c r="A538" s="671" t="s">
        <v>2539</v>
      </c>
      <c r="B538" s="671" t="s">
        <v>3735</v>
      </c>
      <c r="C538" s="671" t="s">
        <v>3737</v>
      </c>
      <c r="D538" s="671"/>
      <c r="E538" s="671"/>
      <c r="F538" s="768">
        <v>31350</v>
      </c>
      <c r="G538" s="671"/>
      <c r="H538" s="671"/>
      <c r="I538" s="671">
        <v>6.4</v>
      </c>
      <c r="J538" s="671" t="s">
        <v>4097</v>
      </c>
      <c r="K538" s="671">
        <v>146</v>
      </c>
      <c r="L538" s="671"/>
      <c r="M538" s="671" t="s">
        <v>3140</v>
      </c>
      <c r="N538" s="671">
        <v>5</v>
      </c>
      <c r="O538" s="671">
        <v>110</v>
      </c>
      <c r="P538" s="671"/>
      <c r="Q538" s="671">
        <v>150</v>
      </c>
      <c r="R538" s="671"/>
      <c r="S538" s="768" t="s">
        <v>2785</v>
      </c>
      <c r="T538" s="768">
        <v>4709</v>
      </c>
      <c r="U538" s="768">
        <v>2068</v>
      </c>
      <c r="V538" s="768">
        <v>1435</v>
      </c>
      <c r="W538" s="768">
        <v>1520</v>
      </c>
      <c r="X538" s="768" t="s">
        <v>3272</v>
      </c>
      <c r="Y538" s="768" t="s">
        <v>3827</v>
      </c>
      <c r="Z538" s="768"/>
      <c r="AA538" s="671"/>
      <c r="AB538" s="671"/>
      <c r="AC538" s="671"/>
      <c r="AD538" s="671"/>
      <c r="AE538" s="671"/>
      <c r="AF538" s="671" t="s">
        <v>3079</v>
      </c>
      <c r="AG538" s="768" t="s">
        <v>2781</v>
      </c>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1:76" x14ac:dyDescent="0.2">
      <c r="A539" s="671" t="s">
        <v>2992</v>
      </c>
      <c r="B539" s="671" t="s">
        <v>3283</v>
      </c>
      <c r="C539" s="671" t="s">
        <v>3207</v>
      </c>
      <c r="D539" s="671"/>
      <c r="E539" s="671"/>
      <c r="F539" s="768">
        <v>22890</v>
      </c>
      <c r="G539" s="671"/>
      <c r="H539" s="671"/>
      <c r="I539" s="671">
        <v>6.5</v>
      </c>
      <c r="J539" s="671" t="s">
        <v>4097</v>
      </c>
      <c r="K539" s="671">
        <v>146</v>
      </c>
      <c r="L539" s="671"/>
      <c r="M539" s="671" t="s">
        <v>3811</v>
      </c>
      <c r="N539" s="671">
        <v>5</v>
      </c>
      <c r="O539" s="671">
        <v>118</v>
      </c>
      <c r="P539" s="671"/>
      <c r="Q539" s="671">
        <v>160</v>
      </c>
      <c r="R539" s="671"/>
      <c r="S539" s="768" t="s">
        <v>2785</v>
      </c>
      <c r="T539" s="768">
        <v>4686</v>
      </c>
      <c r="U539" s="768">
        <v>1810</v>
      </c>
      <c r="V539" s="768">
        <v>1442</v>
      </c>
      <c r="W539" s="768">
        <v>1555</v>
      </c>
      <c r="X539" s="768" t="s">
        <v>3101</v>
      </c>
      <c r="Y539" s="768" t="s">
        <v>3828</v>
      </c>
      <c r="Z539" s="768" t="s">
        <v>3274</v>
      </c>
      <c r="AA539" s="671" t="s">
        <v>3829</v>
      </c>
      <c r="AB539" s="671"/>
      <c r="AC539" s="671"/>
      <c r="AD539" s="671"/>
      <c r="AE539" s="671"/>
      <c r="AF539" s="671" t="s">
        <v>3079</v>
      </c>
      <c r="AG539" s="768" t="s">
        <v>2781</v>
      </c>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1:76" x14ac:dyDescent="0.2">
      <c r="A540" s="671" t="s">
        <v>3110</v>
      </c>
      <c r="B540" s="671" t="s">
        <v>3242</v>
      </c>
      <c r="C540" s="671" t="s">
        <v>3111</v>
      </c>
      <c r="D540" s="671"/>
      <c r="E540" s="671"/>
      <c r="F540" s="768">
        <v>16690</v>
      </c>
      <c r="G540" s="671"/>
      <c r="H540" s="671"/>
      <c r="I540" s="671">
        <v>6.5</v>
      </c>
      <c r="J540" s="671" t="s">
        <v>4097</v>
      </c>
      <c r="K540" s="671">
        <v>146</v>
      </c>
      <c r="L540" s="671"/>
      <c r="M540" s="671" t="s">
        <v>3140</v>
      </c>
      <c r="N540" s="671">
        <v>5</v>
      </c>
      <c r="O540" s="671">
        <v>90</v>
      </c>
      <c r="P540" s="671"/>
      <c r="Q540" s="671">
        <v>122</v>
      </c>
      <c r="R540" s="671"/>
      <c r="S540" s="768" t="s">
        <v>2785</v>
      </c>
      <c r="T540" s="768">
        <v>4762</v>
      </c>
      <c r="U540" s="768">
        <v>2022</v>
      </c>
      <c r="V540" s="768">
        <v>1428</v>
      </c>
      <c r="W540" s="768">
        <v>1540</v>
      </c>
      <c r="X540" s="768" t="s">
        <v>3775</v>
      </c>
      <c r="Y540" s="768" t="s">
        <v>3830</v>
      </c>
      <c r="Z540" s="768" t="s">
        <v>3831</v>
      </c>
      <c r="AA540" s="671" t="s">
        <v>3832</v>
      </c>
      <c r="AB540" s="671" t="s">
        <v>3845</v>
      </c>
      <c r="AC540" s="671"/>
      <c r="AD540" s="671"/>
      <c r="AE540" s="671"/>
      <c r="AF540" s="671" t="s">
        <v>3079</v>
      </c>
      <c r="AG540" s="768" t="s">
        <v>2781</v>
      </c>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1:76" x14ac:dyDescent="0.2">
      <c r="A541" s="671" t="s">
        <v>2997</v>
      </c>
      <c r="B541" s="671">
        <v>5008</v>
      </c>
      <c r="C541" s="671" t="s">
        <v>2946</v>
      </c>
      <c r="D541" s="671"/>
      <c r="E541" s="671"/>
      <c r="F541" s="768">
        <v>28790</v>
      </c>
      <c r="G541" s="671"/>
      <c r="H541" s="671"/>
      <c r="I541" s="671">
        <v>6.5</v>
      </c>
      <c r="J541" s="671" t="s">
        <v>4097</v>
      </c>
      <c r="K541" s="671">
        <v>147</v>
      </c>
      <c r="L541" s="671"/>
      <c r="M541" s="671" t="s">
        <v>3140</v>
      </c>
      <c r="N541" s="671">
        <v>5</v>
      </c>
      <c r="O541" s="671">
        <v>88</v>
      </c>
      <c r="P541" s="671"/>
      <c r="Q541" s="671">
        <v>120</v>
      </c>
      <c r="R541" s="671"/>
      <c r="S541" s="671" t="s">
        <v>2785</v>
      </c>
      <c r="T541" s="768">
        <v>4871</v>
      </c>
      <c r="U541" s="768">
        <v>2121</v>
      </c>
      <c r="V541" s="768">
        <v>1482</v>
      </c>
      <c r="W541" s="768">
        <v>1707</v>
      </c>
      <c r="X541" s="671" t="s">
        <v>3833</v>
      </c>
      <c r="Y541" s="671" t="s">
        <v>3834</v>
      </c>
      <c r="Z541" s="671" t="s">
        <v>3833</v>
      </c>
      <c r="AA541" s="671" t="s">
        <v>3835</v>
      </c>
      <c r="AB541" s="671" t="s">
        <v>3175</v>
      </c>
      <c r="AC541" s="671" t="s">
        <v>3176</v>
      </c>
      <c r="AD541" s="671"/>
      <c r="AE541" s="671"/>
      <c r="AF541" s="671"/>
      <c r="AG541" s="671"/>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1:76" x14ac:dyDescent="0.2">
      <c r="A542" s="671" t="s">
        <v>3001</v>
      </c>
      <c r="B542" s="671" t="s">
        <v>3241</v>
      </c>
      <c r="C542" s="671" t="s">
        <v>3245</v>
      </c>
      <c r="D542" s="671"/>
      <c r="E542" s="671"/>
      <c r="F542" s="768">
        <v>23290</v>
      </c>
      <c r="G542" s="671"/>
      <c r="H542" s="671"/>
      <c r="I542" s="671">
        <v>6.6</v>
      </c>
      <c r="J542" s="671" t="s">
        <v>4097</v>
      </c>
      <c r="K542" s="671">
        <v>148</v>
      </c>
      <c r="L542" s="671"/>
      <c r="M542" s="671" t="s">
        <v>3140</v>
      </c>
      <c r="N542" s="671">
        <v>5</v>
      </c>
      <c r="O542" s="671">
        <v>75</v>
      </c>
      <c r="P542" s="671"/>
      <c r="Q542" s="671">
        <v>100</v>
      </c>
      <c r="R542" s="768"/>
      <c r="S542" s="671" t="s">
        <v>2785</v>
      </c>
      <c r="T542" s="768">
        <v>4300</v>
      </c>
      <c r="U542" s="768">
        <v>1987</v>
      </c>
      <c r="V542" s="768">
        <v>1530</v>
      </c>
      <c r="W542" s="768">
        <v>1205</v>
      </c>
      <c r="X542" s="671" t="s">
        <v>3284</v>
      </c>
      <c r="Y542" s="768" t="s">
        <v>3854</v>
      </c>
      <c r="Z542" s="768"/>
      <c r="AA542" s="768"/>
      <c r="AB542" s="671" t="s">
        <v>3249</v>
      </c>
      <c r="AC542" s="671" t="s">
        <v>3218</v>
      </c>
      <c r="AD542" s="671" t="s">
        <v>3282</v>
      </c>
      <c r="AE542" s="671" t="s">
        <v>3234</v>
      </c>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1:76" x14ac:dyDescent="0.2">
      <c r="A543" s="671" t="s">
        <v>2989</v>
      </c>
      <c r="B543" s="671" t="s">
        <v>3239</v>
      </c>
      <c r="C543" s="671" t="s">
        <v>2946</v>
      </c>
      <c r="D543" s="671" t="s">
        <v>2911</v>
      </c>
      <c r="E543" s="671"/>
      <c r="F543" s="768">
        <v>26690</v>
      </c>
      <c r="G543" s="671"/>
      <c r="H543" s="671"/>
      <c r="I543" s="671">
        <v>6.6</v>
      </c>
      <c r="J543" s="671" t="s">
        <v>4097</v>
      </c>
      <c r="K543" s="671">
        <v>149</v>
      </c>
      <c r="L543" s="671"/>
      <c r="M543" s="671" t="s">
        <v>3616</v>
      </c>
      <c r="N543" s="671">
        <v>5</v>
      </c>
      <c r="O543" s="671">
        <v>85</v>
      </c>
      <c r="P543" s="671"/>
      <c r="Q543" s="671">
        <v>116</v>
      </c>
      <c r="R543" s="768"/>
      <c r="S543" s="671" t="s">
        <v>2785</v>
      </c>
      <c r="T543" s="768">
        <v>4354</v>
      </c>
      <c r="U543" s="768">
        <v>2039</v>
      </c>
      <c r="V543" s="768">
        <v>1555</v>
      </c>
      <c r="W543" s="768">
        <v>1495</v>
      </c>
      <c r="X543" s="671" t="s">
        <v>3281</v>
      </c>
      <c r="Y543" s="768" t="s">
        <v>3855</v>
      </c>
      <c r="Z543" s="768" t="s">
        <v>3274</v>
      </c>
      <c r="AA543" s="768" t="s">
        <v>3856</v>
      </c>
      <c r="AB543" s="768"/>
      <c r="AC543" s="671"/>
      <c r="AD543" s="671" t="s">
        <v>3282</v>
      </c>
      <c r="AE543" s="671" t="s">
        <v>3234</v>
      </c>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1:76" x14ac:dyDescent="0.2">
      <c r="A544" s="671" t="s">
        <v>2992</v>
      </c>
      <c r="B544" s="671" t="s">
        <v>2801</v>
      </c>
      <c r="C544" s="671" t="s">
        <v>3092</v>
      </c>
      <c r="D544" s="671"/>
      <c r="E544" s="671"/>
      <c r="F544" s="768">
        <v>21390</v>
      </c>
      <c r="G544" s="671"/>
      <c r="H544" s="671"/>
      <c r="I544" s="671">
        <v>6.6</v>
      </c>
      <c r="J544" s="671" t="s">
        <v>4097</v>
      </c>
      <c r="K544" s="671">
        <v>149</v>
      </c>
      <c r="L544" s="671"/>
      <c r="M544" s="671" t="s">
        <v>3140</v>
      </c>
      <c r="N544" s="671">
        <v>5</v>
      </c>
      <c r="O544" s="671">
        <v>75</v>
      </c>
      <c r="P544" s="671"/>
      <c r="Q544" s="671">
        <v>102</v>
      </c>
      <c r="R544" s="768"/>
      <c r="S544" s="671" t="s">
        <v>2785</v>
      </c>
      <c r="T544" s="768">
        <v>4154</v>
      </c>
      <c r="U544" s="768">
        <v>1976</v>
      </c>
      <c r="V544" s="768">
        <v>1597</v>
      </c>
      <c r="W544" s="768">
        <v>1292</v>
      </c>
      <c r="X544" s="671" t="s">
        <v>3857</v>
      </c>
      <c r="Y544" s="768" t="s">
        <v>3858</v>
      </c>
      <c r="Z544" s="768"/>
      <c r="AA544" s="768"/>
      <c r="AB544" s="768" t="s">
        <v>3259</v>
      </c>
      <c r="AC544" s="671"/>
      <c r="AD544" s="671"/>
      <c r="AE544" s="671"/>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1:76" x14ac:dyDescent="0.2">
      <c r="A545" s="671" t="s">
        <v>3110</v>
      </c>
      <c r="B545" s="671" t="s">
        <v>3736</v>
      </c>
      <c r="C545" s="671" t="s">
        <v>2793</v>
      </c>
      <c r="D545" s="671"/>
      <c r="E545" s="671"/>
      <c r="F545" s="768">
        <v>40130</v>
      </c>
      <c r="G545" s="671"/>
      <c r="H545" s="671"/>
      <c r="I545" s="671">
        <v>6.5</v>
      </c>
      <c r="J545" s="671" t="s">
        <v>4097</v>
      </c>
      <c r="K545" s="671">
        <v>150</v>
      </c>
      <c r="L545" s="671"/>
      <c r="M545" s="671" t="s">
        <v>3140</v>
      </c>
      <c r="N545" s="671">
        <v>5</v>
      </c>
      <c r="O545" s="671">
        <v>85</v>
      </c>
      <c r="P545" s="671"/>
      <c r="Q545" s="671">
        <v>115</v>
      </c>
      <c r="R545" s="768"/>
      <c r="S545" s="671" t="s">
        <v>2785</v>
      </c>
      <c r="T545" s="768">
        <v>4227</v>
      </c>
      <c r="U545" s="768">
        <v>2003</v>
      </c>
      <c r="V545" s="768">
        <v>1576</v>
      </c>
      <c r="W545" s="768">
        <v>1490</v>
      </c>
      <c r="X545" s="671"/>
      <c r="Y545" s="768"/>
      <c r="Z545" s="768"/>
      <c r="AA545" s="768"/>
      <c r="AB545" s="671" t="s">
        <v>2717</v>
      </c>
      <c r="AC545" s="671" t="s">
        <v>3868</v>
      </c>
      <c r="AD545" s="671" t="s">
        <v>3282</v>
      </c>
      <c r="AE545" s="671" t="s">
        <v>3234</v>
      </c>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1:76" x14ac:dyDescent="0.2">
      <c r="A546" s="671" t="s">
        <v>2988</v>
      </c>
      <c r="B546" s="671" t="s">
        <v>3608</v>
      </c>
      <c r="C546" s="770">
        <v>44317</v>
      </c>
      <c r="D546" s="671"/>
      <c r="E546" s="671"/>
      <c r="F546" s="768">
        <v>20389</v>
      </c>
      <c r="G546" s="671"/>
      <c r="H546" s="768"/>
      <c r="I546" s="671">
        <v>4.0999999999999996</v>
      </c>
      <c r="J546" s="671" t="s">
        <v>4097</v>
      </c>
      <c r="K546" s="671">
        <v>107</v>
      </c>
      <c r="L546" s="671"/>
      <c r="M546" s="671" t="s">
        <v>3140</v>
      </c>
      <c r="N546" s="671">
        <v>5</v>
      </c>
      <c r="O546" s="671">
        <v>70</v>
      </c>
      <c r="P546" s="671"/>
      <c r="Q546" s="671">
        <v>95</v>
      </c>
      <c r="R546" s="768"/>
      <c r="S546" s="671" t="s">
        <v>2762</v>
      </c>
      <c r="T546" s="768">
        <v>4138</v>
      </c>
      <c r="U546" s="768">
        <v>1942</v>
      </c>
      <c r="V546" s="768">
        <v>1543</v>
      </c>
      <c r="W546" s="768">
        <v>1297</v>
      </c>
      <c r="X546" s="671"/>
      <c r="Y546" s="768"/>
      <c r="Z546" s="768"/>
      <c r="AA546" s="768"/>
      <c r="AB546" s="768" t="s">
        <v>3254</v>
      </c>
      <c r="AC546" s="671" t="s">
        <v>3255</v>
      </c>
      <c r="AD546" s="671"/>
      <c r="AE546" s="671"/>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1:76" x14ac:dyDescent="0.2">
      <c r="A547" s="671" t="s">
        <v>2540</v>
      </c>
      <c r="B547" s="671" t="s">
        <v>3261</v>
      </c>
      <c r="C547" s="671" t="s">
        <v>2831</v>
      </c>
      <c r="D547" s="671"/>
      <c r="E547" s="671"/>
      <c r="F547" s="768">
        <v>29390</v>
      </c>
      <c r="G547" s="671"/>
      <c r="H547" s="768"/>
      <c r="I547" s="671">
        <v>4.0999999999999996</v>
      </c>
      <c r="J547" s="671" t="s">
        <v>4097</v>
      </c>
      <c r="K547" s="671">
        <v>107</v>
      </c>
      <c r="L547" s="671"/>
      <c r="M547" s="671" t="s">
        <v>3573</v>
      </c>
      <c r="N547" s="671">
        <v>5</v>
      </c>
      <c r="O547" s="671">
        <v>70</v>
      </c>
      <c r="P547" s="671"/>
      <c r="Q547" s="671">
        <v>95</v>
      </c>
      <c r="R547" s="768"/>
      <c r="S547" s="671" t="s">
        <v>2762</v>
      </c>
      <c r="T547" s="768">
        <v>4264</v>
      </c>
      <c r="U547" s="768">
        <v>2025</v>
      </c>
      <c r="V547" s="768">
        <v>1595</v>
      </c>
      <c r="W547" s="768">
        <v>1320</v>
      </c>
      <c r="X547" s="671" t="s">
        <v>3850</v>
      </c>
      <c r="Y547" s="768" t="s">
        <v>3858</v>
      </c>
      <c r="Z547" s="768"/>
      <c r="AA547" s="768"/>
      <c r="AB547" s="768" t="s">
        <v>3869</v>
      </c>
      <c r="AC547" s="671"/>
      <c r="AD547" s="671" t="s">
        <v>3282</v>
      </c>
      <c r="AE547" s="671" t="s">
        <v>3234</v>
      </c>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1:76" x14ac:dyDescent="0.2">
      <c r="A548" s="671" t="s">
        <v>2997</v>
      </c>
      <c r="B548" s="671">
        <v>208</v>
      </c>
      <c r="C548" s="671" t="s">
        <v>2949</v>
      </c>
      <c r="D548" s="671" t="s">
        <v>2911</v>
      </c>
      <c r="E548" s="671"/>
      <c r="F548" s="768">
        <v>19530</v>
      </c>
      <c r="G548" s="671"/>
      <c r="H548" s="768"/>
      <c r="I548" s="671">
        <v>4.0999999999999996</v>
      </c>
      <c r="J548" s="671" t="s">
        <v>4097</v>
      </c>
      <c r="K548" s="671">
        <v>108</v>
      </c>
      <c r="L548" s="671"/>
      <c r="M548" s="671" t="s">
        <v>3573</v>
      </c>
      <c r="N548" s="671">
        <v>5</v>
      </c>
      <c r="O548" s="671">
        <v>74</v>
      </c>
      <c r="P548" s="671"/>
      <c r="Q548" s="671">
        <v>100</v>
      </c>
      <c r="R548" s="768"/>
      <c r="S548" s="671" t="s">
        <v>2785</v>
      </c>
      <c r="T548" s="768">
        <v>4096</v>
      </c>
      <c r="U548" s="768">
        <v>2057</v>
      </c>
      <c r="V548" s="768">
        <v>1653</v>
      </c>
      <c r="W548" s="768">
        <v>1395</v>
      </c>
      <c r="X548" s="671" t="s">
        <v>3262</v>
      </c>
      <c r="Y548" s="768" t="s">
        <v>3859</v>
      </c>
      <c r="Z548" s="768"/>
      <c r="AA548" s="768"/>
      <c r="AB548" s="768" t="s">
        <v>3870</v>
      </c>
      <c r="AC548" s="671" t="s">
        <v>3796</v>
      </c>
      <c r="AD548" s="671" t="s">
        <v>3072</v>
      </c>
      <c r="AE548" s="671" t="s">
        <v>3234</v>
      </c>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1:76" x14ac:dyDescent="0.2">
      <c r="A549" s="671" t="s">
        <v>2992</v>
      </c>
      <c r="B549" s="671" t="s">
        <v>2542</v>
      </c>
      <c r="C549" s="671" t="s">
        <v>3768</v>
      </c>
      <c r="D549" s="671"/>
      <c r="E549" s="671"/>
      <c r="F549" s="768">
        <v>18790</v>
      </c>
      <c r="G549" s="671"/>
      <c r="H549" s="768"/>
      <c r="I549" s="671">
        <v>4.2</v>
      </c>
      <c r="J549" s="671" t="s">
        <v>4097</v>
      </c>
      <c r="K549" s="671">
        <v>109</v>
      </c>
      <c r="L549" s="671"/>
      <c r="M549" s="671" t="s">
        <v>3572</v>
      </c>
      <c r="N549" s="671">
        <v>5</v>
      </c>
      <c r="O549" s="671">
        <v>85</v>
      </c>
      <c r="P549" s="671"/>
      <c r="Q549" s="671">
        <v>116</v>
      </c>
      <c r="R549" s="768"/>
      <c r="S549" s="671" t="s">
        <v>2785</v>
      </c>
      <c r="T549" s="768">
        <v>4165</v>
      </c>
      <c r="U549" s="768">
        <v>2070</v>
      </c>
      <c r="V549" s="768">
        <v>1550</v>
      </c>
      <c r="W549" s="768">
        <v>1318</v>
      </c>
      <c r="X549" s="671" t="s">
        <v>2952</v>
      </c>
      <c r="Y549" s="768" t="s">
        <v>3860</v>
      </c>
      <c r="Z549" s="768"/>
      <c r="AA549" s="768"/>
      <c r="AB549" s="768" t="s">
        <v>3730</v>
      </c>
      <c r="AC549" s="671"/>
      <c r="AD549" s="671"/>
      <c r="AE549" s="671"/>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1:76" x14ac:dyDescent="0.2">
      <c r="A550" s="671" t="s">
        <v>2995</v>
      </c>
      <c r="B550" s="671" t="s">
        <v>2898</v>
      </c>
      <c r="C550" s="671" t="s">
        <v>3258</v>
      </c>
      <c r="D550" s="671" t="s">
        <v>2911</v>
      </c>
      <c r="E550" s="671"/>
      <c r="F550" s="768">
        <v>16650</v>
      </c>
      <c r="G550" s="671"/>
      <c r="H550" s="768"/>
      <c r="I550" s="671">
        <v>4.2</v>
      </c>
      <c r="J550" s="671" t="s">
        <v>4097</v>
      </c>
      <c r="K550" s="671">
        <v>111</v>
      </c>
      <c r="L550" s="671"/>
      <c r="M550" s="671" t="s">
        <v>3140</v>
      </c>
      <c r="N550" s="671">
        <v>5</v>
      </c>
      <c r="O550" s="671">
        <v>85</v>
      </c>
      <c r="P550" s="671"/>
      <c r="Q550" s="671">
        <v>116</v>
      </c>
      <c r="R550" s="768"/>
      <c r="S550" s="671" t="s">
        <v>2785</v>
      </c>
      <c r="T550" s="768">
        <v>4299</v>
      </c>
      <c r="U550" s="768">
        <v>1822</v>
      </c>
      <c r="V550" s="768">
        <v>1557</v>
      </c>
      <c r="W550" s="768">
        <v>1505</v>
      </c>
      <c r="X550" s="671" t="s">
        <v>3861</v>
      </c>
      <c r="Y550" s="768" t="s">
        <v>3862</v>
      </c>
      <c r="Z550" s="768" t="s">
        <v>3863</v>
      </c>
      <c r="AA550" s="768" t="s">
        <v>3864</v>
      </c>
      <c r="AB550" s="768" t="s">
        <v>2927</v>
      </c>
      <c r="AC550" s="671"/>
      <c r="AD550" s="671" t="s">
        <v>3282</v>
      </c>
      <c r="AE550" s="671" t="s">
        <v>3234</v>
      </c>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1:76" x14ac:dyDescent="0.2">
      <c r="A551" s="671" t="s">
        <v>2988</v>
      </c>
      <c r="B551" s="671" t="s">
        <v>3131</v>
      </c>
      <c r="C551" s="671" t="s">
        <v>3287</v>
      </c>
      <c r="D551" s="671"/>
      <c r="E551" s="671"/>
      <c r="F551" s="768">
        <v>23739</v>
      </c>
      <c r="G551" s="671"/>
      <c r="H551" s="768"/>
      <c r="I551" s="671">
        <v>4.3</v>
      </c>
      <c r="J551" s="671" t="s">
        <v>4097</v>
      </c>
      <c r="K551" s="671">
        <v>112</v>
      </c>
      <c r="L551" s="671"/>
      <c r="M551" s="671" t="s">
        <v>3573</v>
      </c>
      <c r="N551" s="671">
        <v>5</v>
      </c>
      <c r="O551" s="671">
        <v>85</v>
      </c>
      <c r="P551" s="671"/>
      <c r="Q551" s="671">
        <v>115</v>
      </c>
      <c r="R551" s="768"/>
      <c r="S551" s="671" t="s">
        <v>2785</v>
      </c>
      <c r="T551" s="768">
        <v>4241</v>
      </c>
      <c r="U551" s="768">
        <v>1988</v>
      </c>
      <c r="V551" s="768">
        <v>1553</v>
      </c>
      <c r="W551" s="768">
        <v>1336</v>
      </c>
      <c r="X551" s="671"/>
      <c r="Y551" s="768"/>
      <c r="Z551" s="768"/>
      <c r="AA551" s="768"/>
      <c r="AB551" s="768" t="s">
        <v>2794</v>
      </c>
      <c r="AC551" s="671" t="s">
        <v>3155</v>
      </c>
      <c r="AD551" s="671"/>
      <c r="AE551" s="671"/>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1:76" x14ac:dyDescent="0.2">
      <c r="A552" s="671" t="s">
        <v>2993</v>
      </c>
      <c r="B552" s="671" t="s">
        <v>3764</v>
      </c>
      <c r="C552" s="671" t="s">
        <v>3769</v>
      </c>
      <c r="D552" s="671"/>
      <c r="E552" s="671"/>
      <c r="F552" s="768">
        <v>29600</v>
      </c>
      <c r="G552" s="671"/>
      <c r="H552" s="768"/>
      <c r="I552" s="671">
        <v>4.4000000000000004</v>
      </c>
      <c r="J552" s="671" t="s">
        <v>4097</v>
      </c>
      <c r="K552" s="671">
        <v>114</v>
      </c>
      <c r="L552" s="671"/>
      <c r="M552" s="671" t="s">
        <v>3573</v>
      </c>
      <c r="N552" s="671">
        <v>5</v>
      </c>
      <c r="O552" s="671">
        <v>85</v>
      </c>
      <c r="P552" s="671"/>
      <c r="Q552" s="671">
        <v>115</v>
      </c>
      <c r="R552" s="768"/>
      <c r="S552" s="671" t="s">
        <v>2785</v>
      </c>
      <c r="T552" s="768">
        <v>4234</v>
      </c>
      <c r="U552" s="768">
        <v>1992</v>
      </c>
      <c r="V552" s="768">
        <v>1573</v>
      </c>
      <c r="W552" s="768">
        <v>1395</v>
      </c>
      <c r="X552" s="671" t="s">
        <v>3865</v>
      </c>
      <c r="Y552" s="768" t="s">
        <v>3866</v>
      </c>
      <c r="Z552" s="768"/>
      <c r="AA552" s="768"/>
      <c r="AB552" s="768" t="s">
        <v>3871</v>
      </c>
      <c r="AC552" s="671"/>
      <c r="AD552" s="671"/>
      <c r="AE552" s="671"/>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1:76" x14ac:dyDescent="0.2">
      <c r="A553" s="671" t="s">
        <v>3087</v>
      </c>
      <c r="B553" s="671" t="s">
        <v>3088</v>
      </c>
      <c r="C553" s="671" t="s">
        <v>3286</v>
      </c>
      <c r="D553" s="671" t="s">
        <v>3139</v>
      </c>
      <c r="E553" s="671"/>
      <c r="F553" s="768">
        <v>11340</v>
      </c>
      <c r="G553" s="671"/>
      <c r="H553" s="768"/>
      <c r="I553" s="671">
        <v>4.4000000000000004</v>
      </c>
      <c r="J553" s="671" t="s">
        <v>4097</v>
      </c>
      <c r="K553" s="671">
        <v>116</v>
      </c>
      <c r="L553" s="671"/>
      <c r="M553" s="671" t="s">
        <v>3573</v>
      </c>
      <c r="N553" s="671">
        <v>5</v>
      </c>
      <c r="O553" s="671">
        <v>55</v>
      </c>
      <c r="P553" s="671"/>
      <c r="Q553" s="671">
        <v>75</v>
      </c>
      <c r="R553" s="768"/>
      <c r="S553" s="671" t="s">
        <v>2785</v>
      </c>
      <c r="T553" s="768">
        <v>4157</v>
      </c>
      <c r="U553" s="768">
        <v>2112</v>
      </c>
      <c r="V553" s="768">
        <v>1741</v>
      </c>
      <c r="W553" s="768">
        <v>1420</v>
      </c>
      <c r="X553" s="671" t="s">
        <v>3266</v>
      </c>
      <c r="Y553" s="671" t="s">
        <v>3867</v>
      </c>
      <c r="Z553" s="671"/>
      <c r="AA553" s="671"/>
      <c r="AB553" s="671" t="s">
        <v>3232</v>
      </c>
      <c r="AC553" s="671"/>
      <c r="AD553" s="671" t="s">
        <v>3072</v>
      </c>
      <c r="AE553" s="671" t="s">
        <v>3234</v>
      </c>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1:76" x14ac:dyDescent="0.2">
      <c r="A554" s="671" t="s">
        <v>2995</v>
      </c>
      <c r="B554" s="671" t="s">
        <v>3095</v>
      </c>
      <c r="C554" s="671" t="s">
        <v>3770</v>
      </c>
      <c r="D554" s="671"/>
      <c r="E554" s="671"/>
      <c r="F554" s="768">
        <v>23650</v>
      </c>
      <c r="G554" s="671"/>
      <c r="H554" s="768"/>
      <c r="I554" s="671">
        <v>4.5</v>
      </c>
      <c r="J554" s="671" t="s">
        <v>4097</v>
      </c>
      <c r="K554" s="671">
        <v>117</v>
      </c>
      <c r="L554" s="671"/>
      <c r="M554" s="671" t="s">
        <v>3140</v>
      </c>
      <c r="N554" s="671">
        <v>5</v>
      </c>
      <c r="O554" s="671">
        <v>75</v>
      </c>
      <c r="P554" s="671"/>
      <c r="Q554" s="671">
        <v>102</v>
      </c>
      <c r="R554" s="671"/>
      <c r="S554" s="671" t="s">
        <v>2785</v>
      </c>
      <c r="T554" s="768">
        <v>4212</v>
      </c>
      <c r="U554" s="768">
        <v>1976</v>
      </c>
      <c r="V554" s="768">
        <v>1605</v>
      </c>
      <c r="W554" s="768">
        <v>1289</v>
      </c>
      <c r="X554" s="768" t="s">
        <v>3287</v>
      </c>
      <c r="Y554" s="768" t="s">
        <v>3858</v>
      </c>
      <c r="Z554" s="768"/>
      <c r="AA554" s="768"/>
      <c r="AB554" s="671" t="s">
        <v>3288</v>
      </c>
      <c r="AC554" s="671" t="s">
        <v>3221</v>
      </c>
      <c r="AD554" s="671"/>
      <c r="AE554" s="671"/>
      <c r="AF554" s="671"/>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1:76" x14ac:dyDescent="0.2">
      <c r="A555" s="671" t="s">
        <v>2992</v>
      </c>
      <c r="B555" s="671" t="s">
        <v>3765</v>
      </c>
      <c r="C555" s="671" t="s">
        <v>3270</v>
      </c>
      <c r="D555" s="671"/>
      <c r="E555" s="671"/>
      <c r="F555" s="768">
        <v>24090</v>
      </c>
      <c r="G555" s="671"/>
      <c r="H555" s="768"/>
      <c r="I555" s="671">
        <v>4.5</v>
      </c>
      <c r="J555" s="671" t="s">
        <v>4097</v>
      </c>
      <c r="K555" s="671">
        <v>117</v>
      </c>
      <c r="L555" s="671"/>
      <c r="M555" s="671" t="s">
        <v>3140</v>
      </c>
      <c r="N555" s="671">
        <v>5</v>
      </c>
      <c r="O555" s="671">
        <v>70</v>
      </c>
      <c r="P555" s="671"/>
      <c r="Q555" s="671">
        <v>95</v>
      </c>
      <c r="R555" s="671"/>
      <c r="S555" s="671" t="s">
        <v>2785</v>
      </c>
      <c r="T555" s="768">
        <v>4498</v>
      </c>
      <c r="U555" s="768">
        <v>2004</v>
      </c>
      <c r="V555" s="768">
        <v>1682</v>
      </c>
      <c r="W555" s="768">
        <v>1263</v>
      </c>
      <c r="X555" s="768" t="s">
        <v>3270</v>
      </c>
      <c r="Y555" s="768" t="s">
        <v>3875</v>
      </c>
      <c r="Z555" s="768"/>
      <c r="AA555" s="768"/>
      <c r="AB555" s="671" t="s">
        <v>3268</v>
      </c>
      <c r="AC555" s="671"/>
      <c r="AD555" s="671"/>
      <c r="AE555" s="671" t="s">
        <v>2948</v>
      </c>
      <c r="AF555" s="671" t="s">
        <v>2781</v>
      </c>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1:76" x14ac:dyDescent="0.2">
      <c r="A556" s="671" t="s">
        <v>2539</v>
      </c>
      <c r="B556" s="671" t="s">
        <v>3766</v>
      </c>
      <c r="C556" s="671" t="s">
        <v>3771</v>
      </c>
      <c r="D556" s="671"/>
      <c r="E556" s="671"/>
      <c r="F556" s="768">
        <v>31160</v>
      </c>
      <c r="G556" s="671"/>
      <c r="H556" s="768"/>
      <c r="I556" s="671">
        <v>4.5</v>
      </c>
      <c r="J556" s="671" t="s">
        <v>4097</v>
      </c>
      <c r="K556" s="671">
        <v>118</v>
      </c>
      <c r="L556" s="671"/>
      <c r="M556" s="671" t="s">
        <v>3616</v>
      </c>
      <c r="N556" s="671">
        <v>5</v>
      </c>
      <c r="O556" s="671">
        <v>85</v>
      </c>
      <c r="P556" s="671"/>
      <c r="Q556" s="671">
        <v>116</v>
      </c>
      <c r="R556" s="671"/>
      <c r="S556" s="671" t="s">
        <v>2785</v>
      </c>
      <c r="T556" s="768">
        <v>4565</v>
      </c>
      <c r="U556" s="768">
        <v>2038</v>
      </c>
      <c r="V556" s="768">
        <v>1606</v>
      </c>
      <c r="W556" s="768">
        <v>1560</v>
      </c>
      <c r="X556" s="768" t="s">
        <v>3281</v>
      </c>
      <c r="Y556" s="768" t="s">
        <v>3876</v>
      </c>
      <c r="Z556" s="768" t="s">
        <v>3274</v>
      </c>
      <c r="AA556" s="768" t="s">
        <v>3835</v>
      </c>
      <c r="AB556" s="671"/>
      <c r="AC556" s="671"/>
      <c r="AD556" s="671"/>
      <c r="AE556" s="671" t="s">
        <v>2948</v>
      </c>
      <c r="AF556" s="671" t="s">
        <v>2781</v>
      </c>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1:76" x14ac:dyDescent="0.2">
      <c r="A557" s="671" t="s">
        <v>2989</v>
      </c>
      <c r="B557" s="671" t="s">
        <v>2931</v>
      </c>
      <c r="C557" s="671" t="s">
        <v>2949</v>
      </c>
      <c r="D557" s="671" t="s">
        <v>3139</v>
      </c>
      <c r="E557" s="671"/>
      <c r="F557" s="768">
        <v>20275</v>
      </c>
      <c r="G557" s="671"/>
      <c r="H557" s="768"/>
      <c r="I557" s="671">
        <v>4.5</v>
      </c>
      <c r="J557" s="671" t="s">
        <v>4097</v>
      </c>
      <c r="K557" s="671">
        <v>118</v>
      </c>
      <c r="L557" s="671"/>
      <c r="M557" s="671" t="s">
        <v>3140</v>
      </c>
      <c r="N557" s="671">
        <v>5</v>
      </c>
      <c r="O557" s="671">
        <v>70</v>
      </c>
      <c r="P557" s="671"/>
      <c r="Q557" s="671">
        <v>95</v>
      </c>
      <c r="R557" s="671"/>
      <c r="S557" s="671" t="s">
        <v>2785</v>
      </c>
      <c r="T557" s="768">
        <v>4341</v>
      </c>
      <c r="U557" s="768">
        <v>2052</v>
      </c>
      <c r="V557" s="768">
        <v>1693</v>
      </c>
      <c r="W557" s="768">
        <v>1314</v>
      </c>
      <c r="X557" s="768" t="s">
        <v>3270</v>
      </c>
      <c r="Y557" s="768" t="s">
        <v>3877</v>
      </c>
      <c r="Z557" s="768"/>
      <c r="AA557" s="768"/>
      <c r="AB557" s="671" t="s">
        <v>3884</v>
      </c>
      <c r="AC557" s="671" t="s">
        <v>3885</v>
      </c>
      <c r="AD557" s="671"/>
      <c r="AE557" s="671"/>
      <c r="AF557" s="671"/>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1:76" x14ac:dyDescent="0.2">
      <c r="A558" s="671" t="s">
        <v>2995</v>
      </c>
      <c r="B558" s="671" t="s">
        <v>3767</v>
      </c>
      <c r="C558" s="671" t="s">
        <v>3770</v>
      </c>
      <c r="D558" s="671"/>
      <c r="E558" s="671"/>
      <c r="F558" s="768">
        <v>25890</v>
      </c>
      <c r="G558" s="671"/>
      <c r="H558" s="768"/>
      <c r="I558" s="671">
        <v>4.5</v>
      </c>
      <c r="J558" s="671" t="s">
        <v>4097</v>
      </c>
      <c r="K558" s="671">
        <v>118</v>
      </c>
      <c r="L558" s="671"/>
      <c r="M558" s="671" t="s">
        <v>3140</v>
      </c>
      <c r="N558" s="671">
        <v>5</v>
      </c>
      <c r="O558" s="671">
        <v>96</v>
      </c>
      <c r="P558" s="671"/>
      <c r="Q558" s="671">
        <v>130</v>
      </c>
      <c r="R558" s="671"/>
      <c r="S558" s="671" t="s">
        <v>2785</v>
      </c>
      <c r="T558" s="768">
        <v>4438</v>
      </c>
      <c r="U558" s="768">
        <v>1826</v>
      </c>
      <c r="V558" s="768">
        <v>1610</v>
      </c>
      <c r="W558" s="768">
        <v>1410</v>
      </c>
      <c r="X558" s="768"/>
      <c r="Y558" s="768"/>
      <c r="Z558" s="768"/>
      <c r="AA558" s="768"/>
      <c r="AB558" s="671" t="s">
        <v>3886</v>
      </c>
      <c r="AC558" s="671"/>
      <c r="AD558" s="671"/>
      <c r="AE558" s="671" t="s">
        <v>3085</v>
      </c>
      <c r="AF558" s="671" t="s">
        <v>3291</v>
      </c>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1:76" x14ac:dyDescent="0.2">
      <c r="A559" s="671" t="s">
        <v>3096</v>
      </c>
      <c r="B559" s="671" t="s">
        <v>3130</v>
      </c>
      <c r="C559" s="671" t="s">
        <v>2952</v>
      </c>
      <c r="D559" s="671"/>
      <c r="E559" s="671"/>
      <c r="F559" s="768">
        <v>22590</v>
      </c>
      <c r="G559" s="671"/>
      <c r="H559" s="768"/>
      <c r="I559" s="671">
        <v>4.5999999999999996</v>
      </c>
      <c r="J559" s="671" t="s">
        <v>4097</v>
      </c>
      <c r="K559" s="671">
        <v>118</v>
      </c>
      <c r="L559" s="671"/>
      <c r="M559" s="671" t="s">
        <v>3140</v>
      </c>
      <c r="N559" s="671">
        <v>5</v>
      </c>
      <c r="O559" s="671">
        <v>85</v>
      </c>
      <c r="P559" s="671"/>
      <c r="Q559" s="671">
        <v>115</v>
      </c>
      <c r="R559" s="671"/>
      <c r="S559" s="671" t="s">
        <v>2785</v>
      </c>
      <c r="T559" s="768">
        <v>4489</v>
      </c>
      <c r="U559" s="768">
        <v>2058</v>
      </c>
      <c r="V559" s="768">
        <v>1613</v>
      </c>
      <c r="W559" s="768">
        <v>1531</v>
      </c>
      <c r="X559" s="768" t="s">
        <v>3878</v>
      </c>
      <c r="Y559" s="768" t="s">
        <v>3879</v>
      </c>
      <c r="Z559" s="768"/>
      <c r="AA559" s="768"/>
      <c r="AB559" s="671" t="s">
        <v>3887</v>
      </c>
      <c r="AC559" s="671" t="s">
        <v>3260</v>
      </c>
      <c r="AD559" s="671"/>
      <c r="AE559" s="671"/>
      <c r="AF559" s="671"/>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1:76" x14ac:dyDescent="0.2">
      <c r="A560" s="671" t="s">
        <v>3100</v>
      </c>
      <c r="B560" s="671" t="s">
        <v>2799</v>
      </c>
      <c r="C560" s="671" t="s">
        <v>3772</v>
      </c>
      <c r="D560" s="671"/>
      <c r="E560" s="671"/>
      <c r="F560" s="768">
        <v>29590</v>
      </c>
      <c r="G560" s="671"/>
      <c r="H560" s="768"/>
      <c r="I560" s="671">
        <v>4.5</v>
      </c>
      <c r="J560" s="671" t="s">
        <v>4097</v>
      </c>
      <c r="K560" s="671">
        <v>118</v>
      </c>
      <c r="L560" s="671"/>
      <c r="M560" s="671" t="s">
        <v>3140</v>
      </c>
      <c r="N560" s="671">
        <v>5</v>
      </c>
      <c r="O560" s="671">
        <v>70</v>
      </c>
      <c r="P560" s="671"/>
      <c r="Q560" s="671">
        <v>95</v>
      </c>
      <c r="R560" s="671"/>
      <c r="S560" s="671" t="s">
        <v>2785</v>
      </c>
      <c r="T560" s="768">
        <v>4363</v>
      </c>
      <c r="U560" s="768">
        <v>2004</v>
      </c>
      <c r="V560" s="768">
        <v>1804</v>
      </c>
      <c r="W560" s="768">
        <v>1368</v>
      </c>
      <c r="X560" s="768"/>
      <c r="Y560" s="768"/>
      <c r="Z560" s="768"/>
      <c r="AA560" s="768"/>
      <c r="AB560" s="671" t="s">
        <v>3268</v>
      </c>
      <c r="AC560" s="671"/>
      <c r="AD560" s="671"/>
      <c r="AE560" s="671"/>
      <c r="AF560" s="671"/>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1:76" x14ac:dyDescent="0.2">
      <c r="A561" s="671" t="s">
        <v>2997</v>
      </c>
      <c r="B561" s="671">
        <v>308</v>
      </c>
      <c r="C561" s="671" t="s">
        <v>2949</v>
      </c>
      <c r="D561" s="671"/>
      <c r="E561" s="671"/>
      <c r="F561" s="768">
        <v>23850</v>
      </c>
      <c r="G561" s="671"/>
      <c r="H561" s="768"/>
      <c r="I561" s="671">
        <v>4.5</v>
      </c>
      <c r="J561" s="671" t="s">
        <v>4097</v>
      </c>
      <c r="K561" s="671">
        <v>118</v>
      </c>
      <c r="L561" s="671"/>
      <c r="M561" s="671" t="s">
        <v>3140</v>
      </c>
      <c r="N561" s="671">
        <v>5</v>
      </c>
      <c r="O561" s="671">
        <v>88</v>
      </c>
      <c r="P561" s="671"/>
      <c r="Q561" s="671">
        <v>120</v>
      </c>
      <c r="R561" s="671"/>
      <c r="S561" s="671" t="s">
        <v>2785</v>
      </c>
      <c r="T561" s="768">
        <v>4294</v>
      </c>
      <c r="U561" s="768">
        <v>1772</v>
      </c>
      <c r="V561" s="768">
        <v>1689</v>
      </c>
      <c r="W561" s="768">
        <v>1395</v>
      </c>
      <c r="X561" s="768"/>
      <c r="Y561" s="768"/>
      <c r="Z561" s="768"/>
      <c r="AA561" s="768"/>
      <c r="AB561" s="671" t="s">
        <v>3888</v>
      </c>
      <c r="AC561" s="671" t="s">
        <v>2940</v>
      </c>
      <c r="AD561" s="671"/>
      <c r="AE561" s="671"/>
      <c r="AF561" s="671"/>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1:76" x14ac:dyDescent="0.2">
      <c r="A562" s="671" t="s">
        <v>2988</v>
      </c>
      <c r="B562" s="671" t="s">
        <v>2792</v>
      </c>
      <c r="C562" s="770" t="s">
        <v>3287</v>
      </c>
      <c r="D562" s="770"/>
      <c r="E562" s="770"/>
      <c r="F562" s="768">
        <v>25339</v>
      </c>
      <c r="G562" s="768"/>
      <c r="H562" s="671"/>
      <c r="I562" s="768">
        <v>4.3</v>
      </c>
      <c r="J562" s="671" t="s">
        <v>4097</v>
      </c>
      <c r="K562" s="671">
        <v>113</v>
      </c>
      <c r="L562" s="671"/>
      <c r="M562" s="671" t="s">
        <v>3572</v>
      </c>
      <c r="N562" s="671">
        <v>5</v>
      </c>
      <c r="O562" s="671">
        <v>85</v>
      </c>
      <c r="P562" s="671"/>
      <c r="Q562" s="671">
        <v>116</v>
      </c>
      <c r="R562" s="671"/>
      <c r="S562" s="671" t="s">
        <v>2785</v>
      </c>
      <c r="T562" s="768">
        <v>4485</v>
      </c>
      <c r="U562" s="768">
        <v>1855</v>
      </c>
      <c r="V562" s="768">
        <v>1635</v>
      </c>
      <c r="W562" s="768">
        <v>1534</v>
      </c>
      <c r="X562" s="768" t="s">
        <v>3874</v>
      </c>
      <c r="Y562" s="768" t="s">
        <v>3880</v>
      </c>
      <c r="Z562" s="768"/>
      <c r="AA562" s="768"/>
      <c r="AB562" s="671" t="s">
        <v>3889</v>
      </c>
      <c r="AC562" s="671" t="s">
        <v>3890</v>
      </c>
      <c r="AD562" s="671" t="s">
        <v>3218</v>
      </c>
      <c r="AE562" s="671"/>
      <c r="AF562" s="671"/>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1:76" x14ac:dyDescent="0.2">
      <c r="A563" s="671" t="s">
        <v>2991</v>
      </c>
      <c r="B563" s="671" t="s">
        <v>3673</v>
      </c>
      <c r="C563" s="671" t="s">
        <v>3806</v>
      </c>
      <c r="D563" s="671"/>
      <c r="E563" s="671"/>
      <c r="F563" s="768">
        <v>29970</v>
      </c>
      <c r="G563" s="768"/>
      <c r="H563" s="671"/>
      <c r="I563" s="768">
        <v>4.4000000000000004</v>
      </c>
      <c r="J563" s="671" t="s">
        <v>4097</v>
      </c>
      <c r="K563" s="671">
        <v>117</v>
      </c>
      <c r="L563" s="671"/>
      <c r="M563" s="671" t="s">
        <v>3140</v>
      </c>
      <c r="N563" s="671">
        <v>5</v>
      </c>
      <c r="O563" s="671">
        <v>96</v>
      </c>
      <c r="P563" s="671"/>
      <c r="Q563" s="671">
        <v>130</v>
      </c>
      <c r="R563" s="671"/>
      <c r="S563" s="671" t="s">
        <v>3082</v>
      </c>
      <c r="T563" s="768">
        <v>4573</v>
      </c>
      <c r="U563" s="768">
        <v>2098</v>
      </c>
      <c r="V563" s="768">
        <v>1625</v>
      </c>
      <c r="W563" s="768">
        <v>1527</v>
      </c>
      <c r="X563" s="768" t="s">
        <v>3821</v>
      </c>
      <c r="Y563" s="768" t="s">
        <v>3881</v>
      </c>
      <c r="Z563" s="768"/>
      <c r="AA563" s="768"/>
      <c r="AB563" s="671" t="s">
        <v>3252</v>
      </c>
      <c r="AC563" s="671" t="s">
        <v>3253</v>
      </c>
      <c r="AD563" s="671"/>
      <c r="AE563" s="671"/>
      <c r="AF563" s="671"/>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1:76" x14ac:dyDescent="0.2">
      <c r="A564" s="671" t="s">
        <v>3096</v>
      </c>
      <c r="B564" s="671" t="s">
        <v>3196</v>
      </c>
      <c r="C564" s="671" t="s">
        <v>2952</v>
      </c>
      <c r="D564" s="671"/>
      <c r="E564" s="671"/>
      <c r="F564" s="768">
        <v>22590</v>
      </c>
      <c r="G564" s="768"/>
      <c r="H564" s="671"/>
      <c r="I564" s="768">
        <v>4.5</v>
      </c>
      <c r="J564" s="671" t="s">
        <v>4097</v>
      </c>
      <c r="K564" s="671">
        <v>118</v>
      </c>
      <c r="L564" s="671"/>
      <c r="M564" s="671" t="s">
        <v>3140</v>
      </c>
      <c r="N564" s="671">
        <v>5</v>
      </c>
      <c r="O564" s="671">
        <v>96</v>
      </c>
      <c r="P564" s="671"/>
      <c r="Q564" s="671">
        <v>130</v>
      </c>
      <c r="R564" s="671"/>
      <c r="S564" s="671" t="s">
        <v>2785</v>
      </c>
      <c r="T564" s="768">
        <v>4477</v>
      </c>
      <c r="U564" s="768">
        <v>2098</v>
      </c>
      <c r="V564" s="768">
        <v>1609</v>
      </c>
      <c r="W564" s="768">
        <v>1435</v>
      </c>
      <c r="X564" s="768"/>
      <c r="Y564" s="768"/>
      <c r="Z564" s="768"/>
      <c r="AA564" s="768"/>
      <c r="AB564" s="671" t="s">
        <v>3288</v>
      </c>
      <c r="AC564" s="671" t="s">
        <v>3221</v>
      </c>
      <c r="AD564" s="671"/>
      <c r="AE564" s="671"/>
      <c r="AF564" s="671"/>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1:76" x14ac:dyDescent="0.2">
      <c r="A565" s="671" t="s">
        <v>3100</v>
      </c>
      <c r="B565" s="671" t="s">
        <v>3800</v>
      </c>
      <c r="C565" s="671" t="s">
        <v>3807</v>
      </c>
      <c r="D565" s="671"/>
      <c r="E565" s="671"/>
      <c r="F565" s="768">
        <v>35460</v>
      </c>
      <c r="G565" s="768"/>
      <c r="H565" s="671"/>
      <c r="I565" s="768">
        <v>4.5</v>
      </c>
      <c r="J565" s="671" t="s">
        <v>4097</v>
      </c>
      <c r="K565" s="671">
        <v>118</v>
      </c>
      <c r="L565" s="671"/>
      <c r="M565" s="671" t="s">
        <v>3140</v>
      </c>
      <c r="N565" s="671">
        <v>5</v>
      </c>
      <c r="O565" s="671">
        <v>96</v>
      </c>
      <c r="P565" s="671"/>
      <c r="Q565" s="671">
        <v>130</v>
      </c>
      <c r="R565" s="671"/>
      <c r="S565" s="671" t="s">
        <v>2785</v>
      </c>
      <c r="T565" s="768">
        <v>4447</v>
      </c>
      <c r="U565" s="768">
        <v>2098</v>
      </c>
      <c r="V565" s="768">
        <v>1624</v>
      </c>
      <c r="W565" s="768">
        <v>1417</v>
      </c>
      <c r="X565" s="768" t="s">
        <v>3821</v>
      </c>
      <c r="Y565" s="768" t="s">
        <v>3882</v>
      </c>
      <c r="Z565" s="768"/>
      <c r="AA565" s="768"/>
      <c r="AB565" s="671" t="s">
        <v>3289</v>
      </c>
      <c r="AC565" s="671" t="s">
        <v>3290</v>
      </c>
      <c r="AD565" s="671"/>
      <c r="AE565" s="671"/>
      <c r="AF565" s="671"/>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1:76" x14ac:dyDescent="0.2">
      <c r="A566" s="671" t="s">
        <v>2992</v>
      </c>
      <c r="B566" s="671" t="s">
        <v>2790</v>
      </c>
      <c r="C566" s="671" t="s">
        <v>3270</v>
      </c>
      <c r="D566" s="671"/>
      <c r="E566" s="671"/>
      <c r="F566" s="768">
        <v>25090</v>
      </c>
      <c r="G566" s="768"/>
      <c r="H566" s="671"/>
      <c r="I566" s="768">
        <v>4.5</v>
      </c>
      <c r="J566" s="671" t="s">
        <v>4097</v>
      </c>
      <c r="K566" s="671">
        <v>118</v>
      </c>
      <c r="L566" s="671"/>
      <c r="M566" s="671" t="s">
        <v>3573</v>
      </c>
      <c r="N566" s="671">
        <v>5</v>
      </c>
      <c r="O566" s="671">
        <v>85</v>
      </c>
      <c r="P566" s="671"/>
      <c r="Q566" s="671">
        <v>116</v>
      </c>
      <c r="R566" s="671"/>
      <c r="S566" s="671" t="s">
        <v>2762</v>
      </c>
      <c r="T566" s="768">
        <v>4351</v>
      </c>
      <c r="U566" s="768">
        <v>2050</v>
      </c>
      <c r="V566" s="768">
        <v>1613</v>
      </c>
      <c r="W566" s="768">
        <v>1440</v>
      </c>
      <c r="X566" s="671" t="s">
        <v>2831</v>
      </c>
      <c r="Y566" s="671" t="s">
        <v>3883</v>
      </c>
      <c r="Z566" s="671"/>
      <c r="AA566" s="671"/>
      <c r="AB566" s="671" t="s">
        <v>3149</v>
      </c>
      <c r="AC566" s="671" t="s">
        <v>2939</v>
      </c>
      <c r="AD566" s="671"/>
      <c r="AE566" s="671"/>
      <c r="AF566" s="671"/>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1:76" x14ac:dyDescent="0.2">
      <c r="A567" s="671" t="s">
        <v>2995</v>
      </c>
      <c r="B567" s="671" t="s">
        <v>3672</v>
      </c>
      <c r="C567" s="671" t="s">
        <v>3262</v>
      </c>
      <c r="D567" s="671"/>
      <c r="E567" s="671"/>
      <c r="F567" s="768">
        <v>25150</v>
      </c>
      <c r="G567" s="768"/>
      <c r="H567" s="671"/>
      <c r="I567" s="768">
        <v>4.5</v>
      </c>
      <c r="J567" s="671" t="s">
        <v>4097</v>
      </c>
      <c r="K567" s="671">
        <v>119</v>
      </c>
      <c r="L567" s="671"/>
      <c r="M567" s="671" t="s">
        <v>3140</v>
      </c>
      <c r="N567" s="671">
        <v>5</v>
      </c>
      <c r="O567" s="671">
        <v>96</v>
      </c>
      <c r="P567" s="671"/>
      <c r="Q567" s="671">
        <v>130</v>
      </c>
      <c r="R567" s="671"/>
      <c r="S567" s="671" t="s">
        <v>2785</v>
      </c>
      <c r="T567" s="768">
        <v>4641</v>
      </c>
      <c r="U567" s="768">
        <v>2098</v>
      </c>
      <c r="V567" s="768">
        <v>1646</v>
      </c>
      <c r="W567" s="768">
        <v>1430</v>
      </c>
      <c r="X567" s="671"/>
      <c r="Y567" s="671"/>
      <c r="Z567" s="671"/>
      <c r="AA567" s="671"/>
      <c r="AB567" s="671" t="s">
        <v>3289</v>
      </c>
      <c r="AC567" s="671" t="s">
        <v>3290</v>
      </c>
      <c r="AD567" s="671"/>
      <c r="AE567" s="671" t="s">
        <v>2948</v>
      </c>
      <c r="AF567" s="671" t="s">
        <v>2781</v>
      </c>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1:76" x14ac:dyDescent="0.2">
      <c r="A568" s="671" t="s">
        <v>2985</v>
      </c>
      <c r="B568" s="671" t="s">
        <v>3801</v>
      </c>
      <c r="C568" s="671" t="s">
        <v>3285</v>
      </c>
      <c r="D568" s="671"/>
      <c r="E568" s="671"/>
      <c r="F568" s="768">
        <v>21170</v>
      </c>
      <c r="G568" s="768"/>
      <c r="H568" s="671"/>
      <c r="I568" s="768">
        <v>4.5999999999999996</v>
      </c>
      <c r="J568" s="671" t="s">
        <v>4097</v>
      </c>
      <c r="K568" s="671">
        <v>120</v>
      </c>
      <c r="L568" s="671"/>
      <c r="M568" s="671" t="s">
        <v>3140</v>
      </c>
      <c r="N568" s="671">
        <v>5</v>
      </c>
      <c r="O568" s="671">
        <v>96</v>
      </c>
      <c r="P568" s="671"/>
      <c r="Q568" s="671">
        <v>130</v>
      </c>
      <c r="R568" s="671"/>
      <c r="S568" s="671" t="s">
        <v>2785</v>
      </c>
      <c r="T568" s="768">
        <v>4500</v>
      </c>
      <c r="U568" s="768">
        <v>1969</v>
      </c>
      <c r="V568" s="768">
        <v>1654</v>
      </c>
      <c r="W568" s="768">
        <v>1507</v>
      </c>
      <c r="X568" s="671"/>
      <c r="Y568" s="671"/>
      <c r="Z568" s="671"/>
      <c r="AA568" s="671"/>
      <c r="AB568" s="671" t="s">
        <v>3891</v>
      </c>
      <c r="AC568" s="671" t="s">
        <v>3892</v>
      </c>
      <c r="AD568" s="671"/>
      <c r="AE568" s="671"/>
      <c r="AF568" s="671"/>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1:76" x14ac:dyDescent="0.2">
      <c r="A569" s="671" t="s">
        <v>2997</v>
      </c>
      <c r="B569" s="671">
        <v>508</v>
      </c>
      <c r="C569" s="671" t="s">
        <v>3284</v>
      </c>
      <c r="D569" s="671"/>
      <c r="E569" s="671"/>
      <c r="F569" s="768">
        <v>36750</v>
      </c>
      <c r="G569" s="768"/>
      <c r="H569" s="671"/>
      <c r="I569" s="768">
        <v>4.7</v>
      </c>
      <c r="J569" s="671" t="s">
        <v>4097</v>
      </c>
      <c r="K569" s="671">
        <v>120</v>
      </c>
      <c r="L569" s="671"/>
      <c r="M569" s="671" t="s">
        <v>3140</v>
      </c>
      <c r="N569" s="671">
        <v>5</v>
      </c>
      <c r="O569" s="671">
        <v>85</v>
      </c>
      <c r="P569" s="671"/>
      <c r="Q569" s="671">
        <v>116</v>
      </c>
      <c r="R569" s="671"/>
      <c r="S569" s="671" t="s">
        <v>2785</v>
      </c>
      <c r="T569" s="768">
        <v>4363</v>
      </c>
      <c r="U569" s="768">
        <v>2078</v>
      </c>
      <c r="V569" s="768">
        <v>1601</v>
      </c>
      <c r="W569" s="768">
        <v>1428</v>
      </c>
      <c r="X569" s="671" t="s">
        <v>2831</v>
      </c>
      <c r="Y569" s="671" t="s">
        <v>3883</v>
      </c>
      <c r="Z569" s="671"/>
      <c r="AA569" s="671"/>
      <c r="AB569" s="671" t="s">
        <v>3254</v>
      </c>
      <c r="AC569" s="671" t="s">
        <v>3255</v>
      </c>
      <c r="AD569" s="671"/>
      <c r="AE569" s="671"/>
      <c r="AF569" s="671"/>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1:76" x14ac:dyDescent="0.2">
      <c r="A570" s="671" t="s">
        <v>3001</v>
      </c>
      <c r="B570" s="671" t="s">
        <v>2829</v>
      </c>
      <c r="C570" s="671" t="s">
        <v>3271</v>
      </c>
      <c r="D570" s="671"/>
      <c r="E570" s="671"/>
      <c r="F570" s="768">
        <v>24390</v>
      </c>
      <c r="G570" s="768"/>
      <c r="H570" s="671"/>
      <c r="I570" s="768">
        <v>4.5999999999999996</v>
      </c>
      <c r="J570" s="671" t="s">
        <v>4097</v>
      </c>
      <c r="K570" s="671">
        <v>121</v>
      </c>
      <c r="L570" s="671"/>
      <c r="M570" s="768" t="s">
        <v>3140</v>
      </c>
      <c r="N570" s="768">
        <v>5</v>
      </c>
      <c r="O570" s="768">
        <v>75</v>
      </c>
      <c r="P570" s="768"/>
      <c r="Q570" s="768">
        <v>102</v>
      </c>
      <c r="R570" s="768"/>
      <c r="S570" s="768" t="s">
        <v>2762</v>
      </c>
      <c r="T570" s="768">
        <v>3996</v>
      </c>
      <c r="U570" s="768">
        <v>2009</v>
      </c>
      <c r="V570" s="768">
        <v>1474</v>
      </c>
      <c r="W570" s="768">
        <v>1146</v>
      </c>
      <c r="X570" s="671"/>
      <c r="Y570" s="671"/>
      <c r="Z570" s="671"/>
      <c r="AA570" s="768" t="s">
        <v>3259</v>
      </c>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1:76" x14ac:dyDescent="0.2">
      <c r="A571" s="671" t="s">
        <v>2595</v>
      </c>
      <c r="B571" s="671" t="s">
        <v>3802</v>
      </c>
      <c r="C571" s="671" t="s">
        <v>3265</v>
      </c>
      <c r="D571" s="671"/>
      <c r="E571" s="671"/>
      <c r="F571" s="768">
        <v>22790</v>
      </c>
      <c r="G571" s="768"/>
      <c r="H571" s="671"/>
      <c r="I571" s="768">
        <v>4.5999999999999996</v>
      </c>
      <c r="J571" s="671" t="s">
        <v>4097</v>
      </c>
      <c r="K571" s="671">
        <v>121</v>
      </c>
      <c r="L571" s="671"/>
      <c r="M571" s="768" t="s">
        <v>3140</v>
      </c>
      <c r="N571" s="768">
        <v>5</v>
      </c>
      <c r="O571" s="671">
        <v>75</v>
      </c>
      <c r="P571" s="671"/>
      <c r="Q571" s="671">
        <v>102</v>
      </c>
      <c r="R571" s="768"/>
      <c r="S571" s="671" t="s">
        <v>2785</v>
      </c>
      <c r="T571" s="768" t="s">
        <v>3911</v>
      </c>
      <c r="U571" s="671" t="s">
        <v>3927</v>
      </c>
      <c r="V571" s="671" t="s">
        <v>3942</v>
      </c>
      <c r="W571" s="768" t="s">
        <v>3957</v>
      </c>
      <c r="X571" s="671"/>
      <c r="Y571" s="671"/>
      <c r="Z571" s="671"/>
      <c r="AA571" s="671"/>
      <c r="AB571" s="768" t="s">
        <v>3654</v>
      </c>
      <c r="AC571" s="671" t="s">
        <v>3069</v>
      </c>
      <c r="AD571" s="671"/>
      <c r="AE571" s="671"/>
      <c r="AF571" s="671"/>
      <c r="AG571" s="671"/>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1:76" x14ac:dyDescent="0.2">
      <c r="A572" s="671" t="s">
        <v>2988</v>
      </c>
      <c r="B572" s="671" t="s">
        <v>3803</v>
      </c>
      <c r="C572" s="671" t="s">
        <v>3287</v>
      </c>
      <c r="D572" s="671"/>
      <c r="E572" s="671"/>
      <c r="F572" s="768">
        <v>32699</v>
      </c>
      <c r="G572" s="768"/>
      <c r="H572" s="671"/>
      <c r="I572" s="768">
        <v>4.5999999999999996</v>
      </c>
      <c r="J572" s="671" t="s">
        <v>4097</v>
      </c>
      <c r="K572" s="671">
        <v>121</v>
      </c>
      <c r="L572" s="671"/>
      <c r="M572" s="671" t="s">
        <v>3573</v>
      </c>
      <c r="N572" s="671">
        <v>5</v>
      </c>
      <c r="O572" s="671">
        <v>85</v>
      </c>
      <c r="P572" s="671"/>
      <c r="Q572" s="671">
        <v>115</v>
      </c>
      <c r="R572" s="768"/>
      <c r="S572" s="768" t="s">
        <v>2785</v>
      </c>
      <c r="T572" s="768" t="s">
        <v>3912</v>
      </c>
      <c r="U572" s="671" t="s">
        <v>3928</v>
      </c>
      <c r="V572" s="671" t="s">
        <v>3943</v>
      </c>
      <c r="W572" s="768" t="s">
        <v>3958</v>
      </c>
      <c r="X572" s="671"/>
      <c r="Y572" s="671"/>
      <c r="Z572" s="671"/>
      <c r="AA572" s="671"/>
      <c r="AB572" s="768" t="s">
        <v>3789</v>
      </c>
      <c r="AC572" s="671"/>
      <c r="AD572" s="671"/>
      <c r="AE572" s="671"/>
      <c r="AF572" s="671"/>
      <c r="AG572" s="671"/>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1:76" x14ac:dyDescent="0.2">
      <c r="A573" s="671" t="s">
        <v>2997</v>
      </c>
      <c r="B573" s="671" t="s">
        <v>2941</v>
      </c>
      <c r="C573" s="671" t="s">
        <v>3284</v>
      </c>
      <c r="D573" s="671"/>
      <c r="E573" s="671"/>
      <c r="F573" s="768">
        <v>27800</v>
      </c>
      <c r="G573" s="768"/>
      <c r="H573" s="671"/>
      <c r="I573" s="768">
        <v>4.7</v>
      </c>
      <c r="J573" s="671" t="s">
        <v>4097</v>
      </c>
      <c r="K573" s="671">
        <v>122</v>
      </c>
      <c r="L573" s="671"/>
      <c r="M573" s="671" t="s">
        <v>3140</v>
      </c>
      <c r="N573" s="671">
        <v>5</v>
      </c>
      <c r="O573" s="671">
        <v>75</v>
      </c>
      <c r="P573" s="671"/>
      <c r="Q573" s="671">
        <v>102</v>
      </c>
      <c r="R573" s="768"/>
      <c r="S573" s="768" t="s">
        <v>2785</v>
      </c>
      <c r="T573" s="768" t="s">
        <v>3913</v>
      </c>
      <c r="U573" s="671" t="s">
        <v>3927</v>
      </c>
      <c r="V573" s="671" t="s">
        <v>3944</v>
      </c>
      <c r="W573" s="768" t="s">
        <v>3957</v>
      </c>
      <c r="X573" s="671"/>
      <c r="Y573" s="671"/>
      <c r="Z573" s="671"/>
      <c r="AA573" s="671"/>
      <c r="AB573" s="768" t="s">
        <v>3790</v>
      </c>
      <c r="AC573" s="671" t="s">
        <v>3714</v>
      </c>
      <c r="AD573" s="671"/>
      <c r="AE573" s="671"/>
      <c r="AF573" s="671"/>
      <c r="AG573" s="671"/>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1:76" x14ac:dyDescent="0.2">
      <c r="A574" s="671" t="s">
        <v>2540</v>
      </c>
      <c r="B574" s="671" t="s">
        <v>2830</v>
      </c>
      <c r="C574" s="671" t="s">
        <v>2831</v>
      </c>
      <c r="D574" s="671"/>
      <c r="E574" s="671"/>
      <c r="F574" s="768">
        <v>36659</v>
      </c>
      <c r="G574" s="768"/>
      <c r="H574" s="671"/>
      <c r="I574" s="768">
        <v>4.7</v>
      </c>
      <c r="J574" s="671" t="s">
        <v>4097</v>
      </c>
      <c r="K574" s="671">
        <v>122</v>
      </c>
      <c r="L574" s="671"/>
      <c r="M574" s="671" t="s">
        <v>3140</v>
      </c>
      <c r="N574" s="671">
        <v>5</v>
      </c>
      <c r="O574" s="671">
        <v>63</v>
      </c>
      <c r="P574" s="671"/>
      <c r="Q574" s="671">
        <v>85</v>
      </c>
      <c r="R574" s="768"/>
      <c r="S574" s="768" t="s">
        <v>2785</v>
      </c>
      <c r="T574" s="768" t="s">
        <v>3914</v>
      </c>
      <c r="U574" s="671" t="s">
        <v>3929</v>
      </c>
      <c r="V574" s="671" t="s">
        <v>3945</v>
      </c>
      <c r="W574" s="768" t="s">
        <v>3959</v>
      </c>
      <c r="X574" s="671" t="s">
        <v>3270</v>
      </c>
      <c r="Y574" s="671" t="s">
        <v>3773</v>
      </c>
      <c r="Z574" s="671"/>
      <c r="AA574" s="671"/>
      <c r="AB574" s="768" t="s">
        <v>3658</v>
      </c>
      <c r="AC574" s="671" t="s">
        <v>3791</v>
      </c>
      <c r="AD574" s="671"/>
      <c r="AE574" s="671"/>
      <c r="AF574" s="671" t="s">
        <v>3269</v>
      </c>
      <c r="AG574" s="671" t="s">
        <v>3106</v>
      </c>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1:76" x14ac:dyDescent="0.2">
      <c r="A575" s="671" t="s">
        <v>2539</v>
      </c>
      <c r="B575" s="671" t="s">
        <v>3081</v>
      </c>
      <c r="C575" s="671" t="s">
        <v>3808</v>
      </c>
      <c r="D575" s="671"/>
      <c r="E575" s="671"/>
      <c r="F575" s="768">
        <v>38950</v>
      </c>
      <c r="G575" s="768"/>
      <c r="H575" s="671"/>
      <c r="I575" s="768">
        <v>4.8</v>
      </c>
      <c r="J575" s="671" t="s">
        <v>4097</v>
      </c>
      <c r="K575" s="671">
        <v>125</v>
      </c>
      <c r="L575" s="671"/>
      <c r="M575" s="671" t="s">
        <v>3573</v>
      </c>
      <c r="N575" s="671">
        <v>5</v>
      </c>
      <c r="O575" s="671">
        <v>63</v>
      </c>
      <c r="P575" s="671"/>
      <c r="Q575" s="671">
        <v>85</v>
      </c>
      <c r="R575" s="768"/>
      <c r="S575" s="768" t="s">
        <v>2785</v>
      </c>
      <c r="T575" s="768" t="s">
        <v>3915</v>
      </c>
      <c r="U575" s="671" t="s">
        <v>3930</v>
      </c>
      <c r="V575" s="671" t="s">
        <v>3946</v>
      </c>
      <c r="W575" s="768" t="s">
        <v>3960</v>
      </c>
      <c r="X575" s="671"/>
      <c r="Y575" s="671"/>
      <c r="Z575" s="671"/>
      <c r="AA575" s="671"/>
      <c r="AB575" s="768" t="s">
        <v>2778</v>
      </c>
      <c r="AC575" s="671" t="s">
        <v>3792</v>
      </c>
      <c r="AD575" s="671" t="s">
        <v>3793</v>
      </c>
      <c r="AE575" s="671"/>
      <c r="AF575" s="671" t="s">
        <v>3191</v>
      </c>
      <c r="AG575" s="671" t="s">
        <v>2781</v>
      </c>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1:76" x14ac:dyDescent="0.2">
      <c r="A576" s="671" t="s">
        <v>3100</v>
      </c>
      <c r="B576" s="671" t="s">
        <v>2942</v>
      </c>
      <c r="C576" s="671" t="s">
        <v>3809</v>
      </c>
      <c r="D576" s="671"/>
      <c r="E576" s="671"/>
      <c r="F576" s="768">
        <v>40470</v>
      </c>
      <c r="G576" s="768"/>
      <c r="H576" s="671"/>
      <c r="I576" s="768">
        <v>4.8</v>
      </c>
      <c r="J576" s="671" t="s">
        <v>4097</v>
      </c>
      <c r="K576" s="671">
        <v>127</v>
      </c>
      <c r="L576" s="671"/>
      <c r="M576" s="671" t="s">
        <v>3616</v>
      </c>
      <c r="N576" s="671">
        <v>5</v>
      </c>
      <c r="O576" s="671">
        <v>77</v>
      </c>
      <c r="P576" s="671"/>
      <c r="Q576" s="671">
        <v>105</v>
      </c>
      <c r="R576" s="768"/>
      <c r="S576" s="768" t="s">
        <v>2785</v>
      </c>
      <c r="T576" s="768" t="s">
        <v>3916</v>
      </c>
      <c r="U576" s="671" t="s">
        <v>3931</v>
      </c>
      <c r="V576" s="671" t="s">
        <v>3947</v>
      </c>
      <c r="W576" s="768" t="s">
        <v>3961</v>
      </c>
      <c r="X576" s="671" t="s">
        <v>3287</v>
      </c>
      <c r="Y576" s="671" t="s">
        <v>3774</v>
      </c>
      <c r="Z576" s="671"/>
      <c r="AA576" s="671"/>
      <c r="AB576" s="768" t="s">
        <v>3654</v>
      </c>
      <c r="AC576" s="671" t="s">
        <v>3655</v>
      </c>
      <c r="AD576" s="671"/>
      <c r="AE576" s="671"/>
      <c r="AF576" s="671"/>
      <c r="AG576" s="671"/>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1:76" x14ac:dyDescent="0.2">
      <c r="A577" s="671" t="s">
        <v>2993</v>
      </c>
      <c r="B577" s="671" t="s">
        <v>3804</v>
      </c>
      <c r="C577" s="671" t="s">
        <v>3769</v>
      </c>
      <c r="D577" s="671"/>
      <c r="E577" s="671"/>
      <c r="F577" s="768">
        <v>36970</v>
      </c>
      <c r="G577" s="768"/>
      <c r="H577" s="671"/>
      <c r="I577" s="768">
        <v>4.9000000000000004</v>
      </c>
      <c r="J577" s="671" t="s">
        <v>4097</v>
      </c>
      <c r="K577" s="671">
        <v>128</v>
      </c>
      <c r="L577" s="671"/>
      <c r="M577" s="671" t="s">
        <v>3140</v>
      </c>
      <c r="N577" s="671">
        <v>5</v>
      </c>
      <c r="O577" s="671">
        <v>85</v>
      </c>
      <c r="P577" s="671"/>
      <c r="Q577" s="671">
        <v>115</v>
      </c>
      <c r="R577" s="768"/>
      <c r="S577" s="768" t="s">
        <v>2785</v>
      </c>
      <c r="T577" s="768" t="s">
        <v>3917</v>
      </c>
      <c r="U577" s="671" t="s">
        <v>3932</v>
      </c>
      <c r="V577" s="671" t="s">
        <v>3948</v>
      </c>
      <c r="W577" s="768" t="s">
        <v>3962</v>
      </c>
      <c r="X577" s="671" t="s">
        <v>3775</v>
      </c>
      <c r="Y577" s="671" t="s">
        <v>3776</v>
      </c>
      <c r="Z577" s="671"/>
      <c r="AA577" s="671"/>
      <c r="AB577" s="768" t="s">
        <v>3794</v>
      </c>
      <c r="AC577" s="671"/>
      <c r="AD577" s="671"/>
      <c r="AE577" s="671"/>
      <c r="AF577" s="671"/>
      <c r="AG577" s="671"/>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1:76" x14ac:dyDescent="0.2">
      <c r="A578" s="671" t="s">
        <v>2995</v>
      </c>
      <c r="B578" s="671" t="s">
        <v>3805</v>
      </c>
      <c r="C578" s="671" t="s">
        <v>3810</v>
      </c>
      <c r="D578" s="671"/>
      <c r="E578" s="671"/>
      <c r="F578" s="768">
        <v>34100</v>
      </c>
      <c r="G578" s="671"/>
      <c r="H578" s="671"/>
      <c r="I578" s="671">
        <v>4.9000000000000004</v>
      </c>
      <c r="J578" s="671" t="s">
        <v>4097</v>
      </c>
      <c r="K578" s="671">
        <v>128</v>
      </c>
      <c r="L578" s="671"/>
      <c r="M578" s="671" t="s">
        <v>3140</v>
      </c>
      <c r="N578" s="671">
        <v>5</v>
      </c>
      <c r="O578" s="671">
        <v>55</v>
      </c>
      <c r="P578" s="671"/>
      <c r="Q578" s="671">
        <v>75</v>
      </c>
      <c r="R578" s="768"/>
      <c r="S578" s="768" t="s">
        <v>2762</v>
      </c>
      <c r="T578" s="768" t="s">
        <v>3918</v>
      </c>
      <c r="U578" s="671" t="s">
        <v>3933</v>
      </c>
      <c r="V578" s="671" t="s">
        <v>3949</v>
      </c>
      <c r="W578" s="768" t="s">
        <v>3963</v>
      </c>
      <c r="X578" s="671" t="s">
        <v>3777</v>
      </c>
      <c r="Y578" s="671" t="s">
        <v>3778</v>
      </c>
      <c r="Z578" s="671"/>
      <c r="AA578" s="671"/>
      <c r="AB578" s="768" t="s">
        <v>3707</v>
      </c>
      <c r="AC578" s="671" t="s">
        <v>3708</v>
      </c>
      <c r="AD578" s="671"/>
      <c r="AE578" s="671"/>
      <c r="AF578" s="671"/>
      <c r="AG578" s="671"/>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1:76" x14ac:dyDescent="0.2">
      <c r="A579" s="671" t="s">
        <v>2997</v>
      </c>
      <c r="B579" s="768">
        <v>2008</v>
      </c>
      <c r="C579" s="671" t="s">
        <v>2949</v>
      </c>
      <c r="D579" s="671"/>
      <c r="E579" s="671"/>
      <c r="F579" s="768">
        <v>25510</v>
      </c>
      <c r="G579" s="671"/>
      <c r="H579" s="671"/>
      <c r="I579" s="671">
        <v>4.5</v>
      </c>
      <c r="J579" s="671" t="s">
        <v>4097</v>
      </c>
      <c r="K579" s="768">
        <v>118</v>
      </c>
      <c r="L579" s="671"/>
      <c r="M579" s="671" t="s">
        <v>3573</v>
      </c>
      <c r="N579" s="671">
        <v>5</v>
      </c>
      <c r="O579" s="671">
        <v>70</v>
      </c>
      <c r="P579" s="671"/>
      <c r="Q579" s="671">
        <v>95</v>
      </c>
      <c r="R579" s="768"/>
      <c r="S579" s="768" t="s">
        <v>2785</v>
      </c>
      <c r="T579" s="768" t="s">
        <v>3919</v>
      </c>
      <c r="U579" s="768" t="s">
        <v>3934</v>
      </c>
      <c r="V579" s="671" t="s">
        <v>3950</v>
      </c>
      <c r="W579" s="768" t="s">
        <v>3964</v>
      </c>
      <c r="X579" s="671" t="s">
        <v>3262</v>
      </c>
      <c r="Y579" s="671" t="s">
        <v>3779</v>
      </c>
      <c r="Z579" s="671" t="s">
        <v>3273</v>
      </c>
      <c r="AA579" s="671" t="s">
        <v>3780</v>
      </c>
      <c r="AB579" s="768" t="s">
        <v>2778</v>
      </c>
      <c r="AC579" s="671" t="s">
        <v>3795</v>
      </c>
      <c r="AD579" s="671" t="s">
        <v>3059</v>
      </c>
      <c r="AE579" s="671" t="s">
        <v>3796</v>
      </c>
      <c r="AF579" s="671" t="s">
        <v>3799</v>
      </c>
      <c r="AG579" s="671" t="s">
        <v>2781</v>
      </c>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1:76" x14ac:dyDescent="0.2">
      <c r="A580" s="768" t="s">
        <v>2539</v>
      </c>
      <c r="B580" s="768" t="s">
        <v>3083</v>
      </c>
      <c r="C580" s="671" t="s">
        <v>3084</v>
      </c>
      <c r="D580" s="671"/>
      <c r="E580" s="671"/>
      <c r="F580" s="768">
        <v>32050</v>
      </c>
      <c r="G580" s="671"/>
      <c r="H580" s="671"/>
      <c r="I580" s="671">
        <v>4.7</v>
      </c>
      <c r="J580" s="671" t="s">
        <v>4097</v>
      </c>
      <c r="K580" s="768">
        <v>123</v>
      </c>
      <c r="L580" s="671"/>
      <c r="M580" s="671" t="s">
        <v>3140</v>
      </c>
      <c r="N580" s="671">
        <v>5</v>
      </c>
      <c r="O580" s="671">
        <v>85</v>
      </c>
      <c r="P580" s="671"/>
      <c r="Q580" s="671">
        <v>115</v>
      </c>
      <c r="R580" s="768"/>
      <c r="S580" s="768" t="s">
        <v>2785</v>
      </c>
      <c r="T580" s="768" t="s">
        <v>3920</v>
      </c>
      <c r="U580" s="671" t="s">
        <v>3935</v>
      </c>
      <c r="V580" s="671" t="s">
        <v>3951</v>
      </c>
      <c r="W580" s="768" t="s">
        <v>3965</v>
      </c>
      <c r="X580" s="671"/>
      <c r="Y580" s="671"/>
      <c r="Z580" s="671"/>
      <c r="AA580" s="671"/>
      <c r="AB580" s="768" t="s">
        <v>3658</v>
      </c>
      <c r="AC580" s="671" t="s">
        <v>3797</v>
      </c>
      <c r="AD580" s="671"/>
      <c r="AE580" s="671"/>
      <c r="AF580" s="671"/>
      <c r="AG580" s="671"/>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1:76" x14ac:dyDescent="0.2">
      <c r="A581" s="768" t="s">
        <v>2989</v>
      </c>
      <c r="B581" s="768" t="s">
        <v>3223</v>
      </c>
      <c r="C581" s="671" t="s">
        <v>3279</v>
      </c>
      <c r="D581" s="671" t="s">
        <v>3139</v>
      </c>
      <c r="E581" s="671"/>
      <c r="F581" s="768">
        <v>20790</v>
      </c>
      <c r="G581" s="671"/>
      <c r="H581" s="671"/>
      <c r="I581" s="671">
        <v>4.7</v>
      </c>
      <c r="J581" s="671" t="s">
        <v>4097</v>
      </c>
      <c r="K581" s="768">
        <v>123</v>
      </c>
      <c r="L581" s="671"/>
      <c r="M581" s="671" t="s">
        <v>3616</v>
      </c>
      <c r="N581" s="671">
        <v>5</v>
      </c>
      <c r="O581" s="671">
        <v>85</v>
      </c>
      <c r="P581" s="671"/>
      <c r="Q581" s="671">
        <v>115</v>
      </c>
      <c r="R581" s="768"/>
      <c r="S581" s="768" t="s">
        <v>2785</v>
      </c>
      <c r="T581" s="768" t="s">
        <v>3921</v>
      </c>
      <c r="U581" s="768" t="s">
        <v>3936</v>
      </c>
      <c r="V581" s="671" t="s">
        <v>3952</v>
      </c>
      <c r="W581" s="768" t="s">
        <v>3966</v>
      </c>
      <c r="X581" s="671" t="s">
        <v>3781</v>
      </c>
      <c r="Y581" s="671" t="s">
        <v>3782</v>
      </c>
      <c r="Z581" s="671"/>
      <c r="AA581" s="671"/>
      <c r="AB581" s="768"/>
      <c r="AC581" s="671"/>
      <c r="AD581" s="671"/>
      <c r="AE581" s="671"/>
      <c r="AF581" s="671"/>
      <c r="AG581" s="671"/>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1:76" x14ac:dyDescent="0.2">
      <c r="A582" s="768" t="s">
        <v>2992</v>
      </c>
      <c r="B582" s="768" t="s">
        <v>2798</v>
      </c>
      <c r="C582" s="671" t="s">
        <v>3270</v>
      </c>
      <c r="D582" s="671"/>
      <c r="E582" s="671"/>
      <c r="F582" s="768">
        <v>24890</v>
      </c>
      <c r="G582" s="671"/>
      <c r="H582" s="671"/>
      <c r="I582" s="671">
        <v>4.7</v>
      </c>
      <c r="J582" s="671" t="s">
        <v>4097</v>
      </c>
      <c r="K582" s="768">
        <v>123</v>
      </c>
      <c r="L582" s="671"/>
      <c r="M582" s="671" t="s">
        <v>3140</v>
      </c>
      <c r="N582" s="671">
        <v>5</v>
      </c>
      <c r="O582" s="671">
        <v>75</v>
      </c>
      <c r="P582" s="671"/>
      <c r="Q582" s="671">
        <v>102</v>
      </c>
      <c r="R582" s="768"/>
      <c r="S582" s="768" t="s">
        <v>2785</v>
      </c>
      <c r="T582" s="768" t="s">
        <v>3922</v>
      </c>
      <c r="U582" s="768" t="s">
        <v>3937</v>
      </c>
      <c r="V582" s="671" t="s">
        <v>3953</v>
      </c>
      <c r="W582" s="768" t="s">
        <v>3967</v>
      </c>
      <c r="X582" s="671" t="s">
        <v>3086</v>
      </c>
      <c r="Y582" s="671" t="s">
        <v>3783</v>
      </c>
      <c r="Z582" s="671"/>
      <c r="AA582" s="671"/>
      <c r="AB582" s="671" t="s">
        <v>3259</v>
      </c>
      <c r="AC582" s="671"/>
      <c r="AD582" s="671"/>
      <c r="AE582" s="671"/>
      <c r="AF582" s="671"/>
      <c r="AG582" s="671"/>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1:76" x14ac:dyDescent="0.2">
      <c r="A583" s="768" t="s">
        <v>3110</v>
      </c>
      <c r="B583" s="768" t="s">
        <v>3225</v>
      </c>
      <c r="C583" s="671" t="s">
        <v>2821</v>
      </c>
      <c r="D583" s="671"/>
      <c r="E583" s="671"/>
      <c r="F583" s="768">
        <v>19990</v>
      </c>
      <c r="G583" s="671"/>
      <c r="H583" s="671"/>
      <c r="I583" s="671">
        <v>4.8</v>
      </c>
      <c r="J583" s="671" t="s">
        <v>4097</v>
      </c>
      <c r="K583" s="768">
        <v>125</v>
      </c>
      <c r="L583" s="671"/>
      <c r="M583" s="671" t="s">
        <v>3573</v>
      </c>
      <c r="N583" s="671">
        <v>5</v>
      </c>
      <c r="O583" s="671">
        <v>88</v>
      </c>
      <c r="P583" s="671"/>
      <c r="Q583" s="671">
        <v>120</v>
      </c>
      <c r="R583" s="768"/>
      <c r="S583" s="768" t="s">
        <v>2785</v>
      </c>
      <c r="T583" s="768" t="s">
        <v>3923</v>
      </c>
      <c r="U583" s="768" t="s">
        <v>3938</v>
      </c>
      <c r="V583" s="671" t="s">
        <v>3954</v>
      </c>
      <c r="W583" s="671" t="s">
        <v>3968</v>
      </c>
      <c r="X583" s="671"/>
      <c r="Y583" s="671"/>
      <c r="Z583" s="671"/>
      <c r="AA583" s="671"/>
      <c r="AB583" s="671" t="s">
        <v>3652</v>
      </c>
      <c r="AC583" s="671"/>
      <c r="AD583" s="671"/>
      <c r="AE583" s="671"/>
      <c r="AF583" s="671"/>
      <c r="AG583" s="671"/>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1:76" x14ac:dyDescent="0.2">
      <c r="A584" s="768" t="s">
        <v>2985</v>
      </c>
      <c r="B584" s="768" t="s">
        <v>3847</v>
      </c>
      <c r="C584" s="671" t="s">
        <v>3850</v>
      </c>
      <c r="D584" s="671" t="s">
        <v>3851</v>
      </c>
      <c r="E584" s="671"/>
      <c r="F584" s="768">
        <v>22100</v>
      </c>
      <c r="G584" s="671"/>
      <c r="H584" s="671"/>
      <c r="I584" s="671">
        <v>4.8</v>
      </c>
      <c r="J584" s="671" t="s">
        <v>4097</v>
      </c>
      <c r="K584" s="768">
        <v>126</v>
      </c>
      <c r="L584" s="671"/>
      <c r="M584" s="671" t="s">
        <v>3572</v>
      </c>
      <c r="N584" s="671">
        <v>5</v>
      </c>
      <c r="O584" s="671">
        <v>85</v>
      </c>
      <c r="P584" s="671"/>
      <c r="Q584" s="671">
        <v>115</v>
      </c>
      <c r="R584" s="768"/>
      <c r="S584" s="768" t="s">
        <v>2785</v>
      </c>
      <c r="T584" s="768" t="s">
        <v>3924</v>
      </c>
      <c r="U584" s="671" t="s">
        <v>3939</v>
      </c>
      <c r="V584" s="671" t="s">
        <v>3955</v>
      </c>
      <c r="W584" s="671" t="s">
        <v>3969</v>
      </c>
      <c r="X584" s="671"/>
      <c r="Y584" s="671"/>
      <c r="Z584" s="671"/>
      <c r="AA584" s="671"/>
      <c r="AB584" s="671" t="s">
        <v>3219</v>
      </c>
      <c r="AC584" s="671"/>
      <c r="AD584" s="671"/>
      <c r="AE584" s="671"/>
      <c r="AF584" s="671" t="s">
        <v>3079</v>
      </c>
      <c r="AG584" s="671" t="s">
        <v>2781</v>
      </c>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1:76" x14ac:dyDescent="0.2">
      <c r="A585" s="768" t="s">
        <v>2995</v>
      </c>
      <c r="B585" s="768" t="s">
        <v>3226</v>
      </c>
      <c r="C585" s="671" t="s">
        <v>3770</v>
      </c>
      <c r="D585" s="671"/>
      <c r="E585" s="671"/>
      <c r="F585" s="768">
        <v>23700</v>
      </c>
      <c r="G585" s="671"/>
      <c r="H585" s="671"/>
      <c r="I585" s="671">
        <v>4.9000000000000004</v>
      </c>
      <c r="J585" s="671" t="s">
        <v>4097</v>
      </c>
      <c r="K585" s="768">
        <v>129</v>
      </c>
      <c r="L585" s="671"/>
      <c r="M585" s="671" t="s">
        <v>3573</v>
      </c>
      <c r="N585" s="671">
        <v>5</v>
      </c>
      <c r="O585" s="671">
        <v>70</v>
      </c>
      <c r="P585" s="671"/>
      <c r="Q585" s="671">
        <v>95</v>
      </c>
      <c r="R585" s="768"/>
      <c r="S585" s="768" t="s">
        <v>2785</v>
      </c>
      <c r="T585" s="768" t="s">
        <v>3925</v>
      </c>
      <c r="U585" s="768" t="s">
        <v>3940</v>
      </c>
      <c r="V585" s="671" t="s">
        <v>3945</v>
      </c>
      <c r="W585" s="671" t="s">
        <v>3970</v>
      </c>
      <c r="X585" s="671" t="s">
        <v>3784</v>
      </c>
      <c r="Y585" s="671" t="s">
        <v>3785</v>
      </c>
      <c r="Z585" s="671" t="s">
        <v>3786</v>
      </c>
      <c r="AA585" s="671" t="s">
        <v>3787</v>
      </c>
      <c r="AB585" s="671"/>
      <c r="AC585" s="768"/>
      <c r="AD585" s="671"/>
      <c r="AE585" s="671"/>
      <c r="AF585" s="671"/>
      <c r="AG585" s="671"/>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1:76" x14ac:dyDescent="0.2">
      <c r="A586" s="768" t="s">
        <v>3096</v>
      </c>
      <c r="B586" s="768" t="s">
        <v>3227</v>
      </c>
      <c r="C586" s="671" t="s">
        <v>2952</v>
      </c>
      <c r="D586" s="671"/>
      <c r="E586" s="671"/>
      <c r="F586" s="768">
        <v>22690</v>
      </c>
      <c r="G586" s="671"/>
      <c r="H586" s="671"/>
      <c r="I586" s="671">
        <v>5</v>
      </c>
      <c r="J586" s="671" t="s">
        <v>4097</v>
      </c>
      <c r="K586" s="768">
        <v>129</v>
      </c>
      <c r="L586" s="671"/>
      <c r="M586" s="671" t="s">
        <v>3140</v>
      </c>
      <c r="N586" s="671">
        <v>5</v>
      </c>
      <c r="O586" s="671">
        <v>75</v>
      </c>
      <c r="P586" s="671"/>
      <c r="Q586" s="671">
        <v>102</v>
      </c>
      <c r="R586" s="768"/>
      <c r="S586" s="768" t="s">
        <v>2785</v>
      </c>
      <c r="T586" s="768" t="s">
        <v>3926</v>
      </c>
      <c r="U586" s="768" t="s">
        <v>3941</v>
      </c>
      <c r="V586" s="671" t="s">
        <v>3956</v>
      </c>
      <c r="W586" s="671" t="s">
        <v>3971</v>
      </c>
      <c r="X586" s="671" t="s">
        <v>3263</v>
      </c>
      <c r="Y586" s="671" t="s">
        <v>3788</v>
      </c>
      <c r="Z586" s="671"/>
      <c r="AA586" s="671"/>
      <c r="AB586" s="671" t="s">
        <v>3267</v>
      </c>
      <c r="AC586" s="768" t="s">
        <v>3798</v>
      </c>
      <c r="AD586" s="671"/>
      <c r="AE586" s="671"/>
      <c r="AF586" s="671"/>
      <c r="AG586" s="671"/>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1:76" x14ac:dyDescent="0.2">
      <c r="A587" s="768" t="s">
        <v>2999</v>
      </c>
      <c r="B587" s="768" t="s">
        <v>3278</v>
      </c>
      <c r="C587" s="768" t="s">
        <v>2920</v>
      </c>
      <c r="D587" s="671"/>
      <c r="E587" s="671"/>
      <c r="F587" s="768">
        <v>28500</v>
      </c>
      <c r="G587" s="671"/>
      <c r="H587" s="671"/>
      <c r="I587" s="671">
        <v>4.9000000000000004</v>
      </c>
      <c r="J587" s="671" t="s">
        <v>4097</v>
      </c>
      <c r="K587" s="768">
        <v>129</v>
      </c>
      <c r="L587" s="671"/>
      <c r="M587" s="671" t="s">
        <v>3616</v>
      </c>
      <c r="N587" s="671">
        <v>5</v>
      </c>
      <c r="O587" s="671">
        <v>77</v>
      </c>
      <c r="P587" s="768"/>
      <c r="Q587" s="768">
        <v>105</v>
      </c>
      <c r="R587" s="768"/>
      <c r="S587" s="768" t="s">
        <v>2785</v>
      </c>
      <c r="T587" s="671" t="s">
        <v>3989</v>
      </c>
      <c r="U587" s="671" t="s">
        <v>3931</v>
      </c>
      <c r="V587" s="671" t="s">
        <v>3947</v>
      </c>
      <c r="W587" s="671" t="s">
        <v>4029</v>
      </c>
      <c r="X587" s="671" t="s">
        <v>3287</v>
      </c>
      <c r="Y587" s="671" t="s">
        <v>3774</v>
      </c>
      <c r="Z587" s="671"/>
      <c r="AA587" s="671"/>
      <c r="AB587" s="671" t="s">
        <v>3836</v>
      </c>
      <c r="AC587" s="671" t="s">
        <v>3837</v>
      </c>
      <c r="AD587" s="671" t="s">
        <v>3221</v>
      </c>
      <c r="AE587" s="671"/>
      <c r="AF587" s="671"/>
      <c r="AG587" s="671"/>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1:76" x14ac:dyDescent="0.2">
      <c r="A588" s="768" t="s">
        <v>2991</v>
      </c>
      <c r="B588" s="768" t="s">
        <v>3848</v>
      </c>
      <c r="C588" s="671" t="s">
        <v>3852</v>
      </c>
      <c r="D588" s="671"/>
      <c r="E588" s="671"/>
      <c r="F588" s="768">
        <v>24050</v>
      </c>
      <c r="G588" s="671"/>
      <c r="H588" s="671"/>
      <c r="I588" s="671">
        <v>5</v>
      </c>
      <c r="J588" s="671" t="s">
        <v>4097</v>
      </c>
      <c r="K588" s="768">
        <v>131</v>
      </c>
      <c r="L588" s="671"/>
      <c r="M588" s="671" t="s">
        <v>3573</v>
      </c>
      <c r="N588" s="671">
        <v>5</v>
      </c>
      <c r="O588" s="671">
        <v>85</v>
      </c>
      <c r="P588" s="768"/>
      <c r="Q588" s="768">
        <v>116</v>
      </c>
      <c r="R588" s="768"/>
      <c r="S588" s="768" t="s">
        <v>2785</v>
      </c>
      <c r="T588" s="671" t="s">
        <v>3990</v>
      </c>
      <c r="U588" s="671" t="s">
        <v>3933</v>
      </c>
      <c r="V588" s="671" t="s">
        <v>4016</v>
      </c>
      <c r="W588" s="671" t="s">
        <v>4030</v>
      </c>
      <c r="X588" s="671" t="s">
        <v>2831</v>
      </c>
      <c r="Y588" s="671" t="s">
        <v>3812</v>
      </c>
      <c r="Z588" s="671"/>
      <c r="AA588" s="671"/>
      <c r="AB588" s="671" t="s">
        <v>3702</v>
      </c>
      <c r="AC588" s="671"/>
      <c r="AD588" s="671"/>
      <c r="AE588" s="671"/>
      <c r="AF588" s="671"/>
      <c r="AG588" s="671"/>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1:76" x14ac:dyDescent="0.2">
      <c r="A589" s="768" t="s">
        <v>2540</v>
      </c>
      <c r="B589" s="768" t="s">
        <v>3849</v>
      </c>
      <c r="C589" s="768" t="s">
        <v>3853</v>
      </c>
      <c r="D589" s="671"/>
      <c r="E589" s="671"/>
      <c r="F589" s="768">
        <v>25770</v>
      </c>
      <c r="G589" s="671"/>
      <c r="H589" s="671"/>
      <c r="I589" s="671">
        <v>5.2</v>
      </c>
      <c r="J589" s="671" t="s">
        <v>4097</v>
      </c>
      <c r="K589" s="768">
        <v>136</v>
      </c>
      <c r="L589" s="671"/>
      <c r="M589" s="671" t="s">
        <v>3572</v>
      </c>
      <c r="N589" s="671">
        <v>5</v>
      </c>
      <c r="O589" s="671">
        <v>85</v>
      </c>
      <c r="P589" s="768"/>
      <c r="Q589" s="768">
        <v>116</v>
      </c>
      <c r="R589" s="768"/>
      <c r="S589" s="768" t="s">
        <v>2785</v>
      </c>
      <c r="T589" s="671" t="s">
        <v>3991</v>
      </c>
      <c r="U589" s="671" t="s">
        <v>4005</v>
      </c>
      <c r="V589" s="671" t="s">
        <v>4017</v>
      </c>
      <c r="W589" s="671" t="s">
        <v>4030</v>
      </c>
      <c r="X589" s="671" t="s">
        <v>2952</v>
      </c>
      <c r="Y589" s="671" t="s">
        <v>3813</v>
      </c>
      <c r="Z589" s="671"/>
      <c r="AA589" s="671"/>
      <c r="AB589" s="671" t="s">
        <v>3219</v>
      </c>
      <c r="AC589" s="671"/>
      <c r="AD589" s="671"/>
      <c r="AE589" s="671"/>
      <c r="AF589" s="671"/>
      <c r="AG589" s="671"/>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1:76" x14ac:dyDescent="0.2">
      <c r="A590" s="768" t="s">
        <v>2995</v>
      </c>
      <c r="B590" s="768" t="s">
        <v>2943</v>
      </c>
      <c r="C590" s="768" t="s">
        <v>3280</v>
      </c>
      <c r="D590" s="671"/>
      <c r="E590" s="671"/>
      <c r="F590" s="768">
        <v>18142</v>
      </c>
      <c r="G590" s="671"/>
      <c r="H590" s="671"/>
      <c r="I590" s="671">
        <v>5.4</v>
      </c>
      <c r="J590" s="671" t="s">
        <v>4097</v>
      </c>
      <c r="K590" s="671">
        <v>141</v>
      </c>
      <c r="L590" s="671"/>
      <c r="M590" s="671" t="s">
        <v>3573</v>
      </c>
      <c r="N590" s="671">
        <v>5</v>
      </c>
      <c r="O590" s="671">
        <v>85</v>
      </c>
      <c r="P590" s="768"/>
      <c r="Q590" s="768">
        <v>116</v>
      </c>
      <c r="R590" s="768"/>
      <c r="S590" s="768" t="s">
        <v>2785</v>
      </c>
      <c r="T590" s="671" t="s">
        <v>3992</v>
      </c>
      <c r="U590" s="671" t="s">
        <v>4006</v>
      </c>
      <c r="V590" s="671" t="s">
        <v>4018</v>
      </c>
      <c r="W590" s="671" t="s">
        <v>4031</v>
      </c>
      <c r="X590" s="671" t="s">
        <v>3814</v>
      </c>
      <c r="Y590" s="671" t="s">
        <v>3787</v>
      </c>
      <c r="Z590" s="671" t="s">
        <v>3274</v>
      </c>
      <c r="AA590" s="671" t="s">
        <v>3815</v>
      </c>
      <c r="AB590" s="671"/>
      <c r="AC590" s="671"/>
      <c r="AD590" s="671"/>
      <c r="AE590" s="671"/>
      <c r="AF590" s="671"/>
      <c r="AG590" s="671"/>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1:76" x14ac:dyDescent="0.2">
      <c r="A591" s="671" t="s">
        <v>2988</v>
      </c>
      <c r="B591" s="671" t="s">
        <v>3236</v>
      </c>
      <c r="C591" s="671" t="s">
        <v>3287</v>
      </c>
      <c r="D591" s="671"/>
      <c r="E591" s="671"/>
      <c r="F591" s="768">
        <v>22349</v>
      </c>
      <c r="G591" s="671"/>
      <c r="H591" s="671"/>
      <c r="I591" s="671">
        <v>4.7</v>
      </c>
      <c r="J591" s="671" t="s">
        <v>4097</v>
      </c>
      <c r="K591" s="671">
        <v>123</v>
      </c>
      <c r="L591" s="671"/>
      <c r="M591" s="671" t="s">
        <v>3140</v>
      </c>
      <c r="N591" s="671">
        <v>5</v>
      </c>
      <c r="O591" s="671">
        <v>85</v>
      </c>
      <c r="P591" s="768"/>
      <c r="Q591" s="768">
        <v>116</v>
      </c>
      <c r="R591" s="768"/>
      <c r="S591" s="768" t="s">
        <v>2785</v>
      </c>
      <c r="T591" s="671" t="s">
        <v>3993</v>
      </c>
      <c r="U591" s="671" t="s">
        <v>3935</v>
      </c>
      <c r="V591" s="671" t="s">
        <v>4019</v>
      </c>
      <c r="W591" s="671" t="s">
        <v>3965</v>
      </c>
      <c r="X591" s="671"/>
      <c r="Y591" s="671"/>
      <c r="Z591" s="671"/>
      <c r="AA591" s="671"/>
      <c r="AB591" s="671" t="s">
        <v>3275</v>
      </c>
      <c r="AC591" s="671" t="s">
        <v>3276</v>
      </c>
      <c r="AD591" s="671"/>
      <c r="AE591" s="671"/>
      <c r="AF591" s="671"/>
      <c r="AG591" s="671"/>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1:76" x14ac:dyDescent="0.2">
      <c r="A592" s="671" t="s">
        <v>3087</v>
      </c>
      <c r="B592" s="671" t="s">
        <v>3090</v>
      </c>
      <c r="C592" s="671" t="s">
        <v>3264</v>
      </c>
      <c r="D592" s="671"/>
      <c r="E592" s="671"/>
      <c r="F592" s="768">
        <v>15350</v>
      </c>
      <c r="G592" s="671"/>
      <c r="H592" s="671"/>
      <c r="I592" s="671">
        <v>4.8</v>
      </c>
      <c r="J592" s="671" t="s">
        <v>4097</v>
      </c>
      <c r="K592" s="671">
        <v>126</v>
      </c>
      <c r="L592" s="671"/>
      <c r="M592" s="671" t="s">
        <v>3573</v>
      </c>
      <c r="N592" s="671">
        <v>5</v>
      </c>
      <c r="O592" s="671">
        <v>70</v>
      </c>
      <c r="P592" s="768"/>
      <c r="Q592" s="768">
        <v>95</v>
      </c>
      <c r="R592" s="768"/>
      <c r="S592" s="768" t="s">
        <v>2785</v>
      </c>
      <c r="T592" s="671" t="s">
        <v>3994</v>
      </c>
      <c r="U592" s="671" t="s">
        <v>3937</v>
      </c>
      <c r="V592" s="671" t="s">
        <v>4020</v>
      </c>
      <c r="W592" s="671" t="s">
        <v>4032</v>
      </c>
      <c r="X592" s="671" t="s">
        <v>3262</v>
      </c>
      <c r="Y592" s="671" t="s">
        <v>3816</v>
      </c>
      <c r="Z592" s="671" t="s">
        <v>3273</v>
      </c>
      <c r="AA592" s="671" t="s">
        <v>3780</v>
      </c>
      <c r="AB592" s="671" t="s">
        <v>3175</v>
      </c>
      <c r="AC592" s="671" t="s">
        <v>3795</v>
      </c>
      <c r="AD592" s="671" t="s">
        <v>3059</v>
      </c>
      <c r="AE592" s="671" t="s">
        <v>3796</v>
      </c>
      <c r="AF592" s="671"/>
      <c r="AG592" s="671"/>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1:76" x14ac:dyDescent="0.2">
      <c r="A593" s="671" t="s">
        <v>2539</v>
      </c>
      <c r="B593" s="671" t="s">
        <v>3735</v>
      </c>
      <c r="C593" s="671" t="s">
        <v>3084</v>
      </c>
      <c r="D593" s="671"/>
      <c r="E593" s="671"/>
      <c r="F593" s="768">
        <v>33600</v>
      </c>
      <c r="G593" s="671"/>
      <c r="H593" s="671"/>
      <c r="I593" s="671">
        <v>4.9000000000000004</v>
      </c>
      <c r="J593" s="671" t="s">
        <v>4097</v>
      </c>
      <c r="K593" s="671">
        <v>128</v>
      </c>
      <c r="L593" s="671"/>
      <c r="M593" s="671" t="s">
        <v>3572</v>
      </c>
      <c r="N593" s="671">
        <v>5</v>
      </c>
      <c r="O593" s="671">
        <v>70</v>
      </c>
      <c r="P593" s="768"/>
      <c r="Q593" s="768">
        <v>95</v>
      </c>
      <c r="R593" s="768"/>
      <c r="S593" s="768" t="s">
        <v>2762</v>
      </c>
      <c r="T593" s="671" t="s">
        <v>3995</v>
      </c>
      <c r="U593" s="671" t="s">
        <v>4007</v>
      </c>
      <c r="V593" s="671" t="s">
        <v>4021</v>
      </c>
      <c r="W593" s="671" t="s">
        <v>4029</v>
      </c>
      <c r="X593" s="671" t="s">
        <v>3817</v>
      </c>
      <c r="Y593" s="671" t="s">
        <v>3818</v>
      </c>
      <c r="Z593" s="671"/>
      <c r="AA593" s="671"/>
      <c r="AB593" s="671" t="s">
        <v>3838</v>
      </c>
      <c r="AC593" s="671" t="s">
        <v>3839</v>
      </c>
      <c r="AD593" s="671"/>
      <c r="AE593" s="671"/>
      <c r="AF593" s="671"/>
      <c r="AG593" s="671"/>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1:76" x14ac:dyDescent="0.2">
      <c r="A594" s="671" t="s">
        <v>3087</v>
      </c>
      <c r="B594" s="671" t="s">
        <v>3732</v>
      </c>
      <c r="C594" s="671" t="s">
        <v>3264</v>
      </c>
      <c r="D594" s="671"/>
      <c r="E594" s="671"/>
      <c r="F594" s="768">
        <v>15490</v>
      </c>
      <c r="G594" s="671"/>
      <c r="H594" s="671"/>
      <c r="I594" s="671">
        <v>4.9000000000000004</v>
      </c>
      <c r="J594" s="671" t="s">
        <v>4097</v>
      </c>
      <c r="K594" s="671">
        <v>128</v>
      </c>
      <c r="L594" s="671"/>
      <c r="M594" s="671" t="s">
        <v>3140</v>
      </c>
      <c r="N594" s="671">
        <v>5</v>
      </c>
      <c r="O594" s="671">
        <v>96</v>
      </c>
      <c r="P594" s="768"/>
      <c r="Q594" s="768">
        <v>130</v>
      </c>
      <c r="R594" s="768"/>
      <c r="S594" s="768" t="s">
        <v>2785</v>
      </c>
      <c r="T594" s="671" t="s">
        <v>3996</v>
      </c>
      <c r="U594" s="671" t="s">
        <v>4008</v>
      </c>
      <c r="V594" s="671" t="s">
        <v>4022</v>
      </c>
      <c r="W594" s="671" t="s">
        <v>4033</v>
      </c>
      <c r="X594" s="671" t="s">
        <v>3819</v>
      </c>
      <c r="Y594" s="671" t="s">
        <v>3820</v>
      </c>
      <c r="Z594" s="671" t="s">
        <v>3821</v>
      </c>
      <c r="AA594" s="671" t="s">
        <v>3822</v>
      </c>
      <c r="AB594" s="671" t="s">
        <v>3214</v>
      </c>
      <c r="AC594" s="671" t="s">
        <v>3840</v>
      </c>
      <c r="AD594" s="671"/>
      <c r="AE594" s="671"/>
      <c r="AF594" s="671" t="s">
        <v>3079</v>
      </c>
      <c r="AG594" s="671" t="s">
        <v>2781</v>
      </c>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1:76" x14ac:dyDescent="0.2">
      <c r="A595" s="671" t="s">
        <v>2989</v>
      </c>
      <c r="B595" s="671" t="s">
        <v>3237</v>
      </c>
      <c r="C595" s="671" t="s">
        <v>3284</v>
      </c>
      <c r="D595" s="671" t="s">
        <v>2911</v>
      </c>
      <c r="E595" s="671"/>
      <c r="F595" s="768">
        <v>28400</v>
      </c>
      <c r="G595" s="671"/>
      <c r="H595" s="671"/>
      <c r="I595" s="671">
        <v>5</v>
      </c>
      <c r="J595" s="671" t="s">
        <v>4097</v>
      </c>
      <c r="K595" s="671">
        <v>130</v>
      </c>
      <c r="L595" s="671"/>
      <c r="M595" s="671" t="s">
        <v>3140</v>
      </c>
      <c r="N595" s="671">
        <v>5</v>
      </c>
      <c r="O595" s="671">
        <v>88</v>
      </c>
      <c r="P595" s="768"/>
      <c r="Q595" s="768">
        <v>120</v>
      </c>
      <c r="R595" s="768"/>
      <c r="S595" s="768" t="s">
        <v>2785</v>
      </c>
      <c r="T595" s="671" t="s">
        <v>3997</v>
      </c>
      <c r="U595" s="671" t="s">
        <v>4008</v>
      </c>
      <c r="V595" s="671" t="s">
        <v>3952</v>
      </c>
      <c r="W595" s="671" t="s">
        <v>4034</v>
      </c>
      <c r="X595" s="671"/>
      <c r="Y595" s="671"/>
      <c r="Z595" s="671"/>
      <c r="AA595" s="671"/>
      <c r="AB595" s="671" t="s">
        <v>3277</v>
      </c>
      <c r="AC595" s="671" t="s">
        <v>3841</v>
      </c>
      <c r="AD595" s="671"/>
      <c r="AE595" s="671"/>
      <c r="AF595" s="671"/>
      <c r="AG595" s="671"/>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1:76" x14ac:dyDescent="0.2">
      <c r="A596" s="671" t="s">
        <v>2992</v>
      </c>
      <c r="B596" s="671" t="s">
        <v>3283</v>
      </c>
      <c r="C596" s="671" t="s">
        <v>3270</v>
      </c>
      <c r="D596" s="671"/>
      <c r="E596" s="671"/>
      <c r="F596" s="768">
        <v>27090</v>
      </c>
      <c r="G596" s="671"/>
      <c r="H596" s="671"/>
      <c r="I596" s="671">
        <v>5</v>
      </c>
      <c r="J596" s="671" t="s">
        <v>4097</v>
      </c>
      <c r="K596" s="671">
        <v>131</v>
      </c>
      <c r="L596" s="671"/>
      <c r="M596" s="671" t="s">
        <v>3572</v>
      </c>
      <c r="N596" s="671">
        <v>5</v>
      </c>
      <c r="O596" s="671">
        <v>85</v>
      </c>
      <c r="P596" s="768"/>
      <c r="Q596" s="768">
        <v>116</v>
      </c>
      <c r="R596" s="768"/>
      <c r="S596" s="768" t="s">
        <v>2785</v>
      </c>
      <c r="T596" s="671" t="s">
        <v>3998</v>
      </c>
      <c r="U596" s="671" t="s">
        <v>4009</v>
      </c>
      <c r="V596" s="671" t="s">
        <v>4017</v>
      </c>
      <c r="W596" s="671" t="s">
        <v>4035</v>
      </c>
      <c r="X596" s="671" t="s">
        <v>3265</v>
      </c>
      <c r="Y596" s="671" t="s">
        <v>3823</v>
      </c>
      <c r="Z596" s="671"/>
      <c r="AA596" s="671"/>
      <c r="AB596" s="671" t="s">
        <v>3097</v>
      </c>
      <c r="AC596" s="671" t="s">
        <v>3842</v>
      </c>
      <c r="AD596" s="671" t="s">
        <v>3218</v>
      </c>
      <c r="AE596" s="671"/>
      <c r="AF596" s="671"/>
      <c r="AG596" s="671"/>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1:76" x14ac:dyDescent="0.2">
      <c r="A597" s="671" t="s">
        <v>3087</v>
      </c>
      <c r="B597" s="671" t="s">
        <v>3091</v>
      </c>
      <c r="C597" s="671" t="s">
        <v>3264</v>
      </c>
      <c r="D597" s="671"/>
      <c r="E597" s="671"/>
      <c r="F597" s="768">
        <v>14250</v>
      </c>
      <c r="G597" s="671"/>
      <c r="H597" s="671"/>
      <c r="I597" s="671">
        <v>5</v>
      </c>
      <c r="J597" s="671" t="s">
        <v>4097</v>
      </c>
      <c r="K597" s="671">
        <v>132</v>
      </c>
      <c r="L597" s="671"/>
      <c r="M597" s="671" t="s">
        <v>3140</v>
      </c>
      <c r="N597" s="671">
        <v>5</v>
      </c>
      <c r="O597" s="671">
        <v>90</v>
      </c>
      <c r="P597" s="768"/>
      <c r="Q597" s="768">
        <v>122</v>
      </c>
      <c r="R597" s="768"/>
      <c r="S597" s="768" t="s">
        <v>2785</v>
      </c>
      <c r="T597" s="671" t="s">
        <v>3999</v>
      </c>
      <c r="U597" s="671" t="s">
        <v>4010</v>
      </c>
      <c r="V597" s="671" t="s">
        <v>3955</v>
      </c>
      <c r="W597" s="671" t="s">
        <v>4036</v>
      </c>
      <c r="X597" s="671" t="s">
        <v>3824</v>
      </c>
      <c r="Y597" s="671" t="s">
        <v>3825</v>
      </c>
      <c r="Z597" s="671"/>
      <c r="AA597" s="671"/>
      <c r="AB597" s="671" t="s">
        <v>3843</v>
      </c>
      <c r="AC597" s="671" t="s">
        <v>3069</v>
      </c>
      <c r="AD597" s="671"/>
      <c r="AE597" s="671"/>
      <c r="AF597" s="671" t="s">
        <v>3079</v>
      </c>
      <c r="AG597" s="671" t="s">
        <v>2781</v>
      </c>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1:76" x14ac:dyDescent="0.2">
      <c r="A598" s="671" t="s">
        <v>3001</v>
      </c>
      <c r="B598" s="671" t="s">
        <v>3241</v>
      </c>
      <c r="C598" s="671" t="s">
        <v>3873</v>
      </c>
      <c r="D598" s="671"/>
      <c r="E598" s="671"/>
      <c r="F598" s="768">
        <v>25790</v>
      </c>
      <c r="G598" s="671"/>
      <c r="H598" s="671"/>
      <c r="I598" s="671">
        <v>5</v>
      </c>
      <c r="J598" s="671" t="s">
        <v>4097</v>
      </c>
      <c r="K598" s="671">
        <v>132</v>
      </c>
      <c r="L598" s="671"/>
      <c r="M598" s="671" t="s">
        <v>3140</v>
      </c>
      <c r="N598" s="671">
        <v>5</v>
      </c>
      <c r="O598" s="671">
        <v>96</v>
      </c>
      <c r="P598" s="768"/>
      <c r="Q598" s="768">
        <v>130</v>
      </c>
      <c r="R598" s="768"/>
      <c r="S598" s="768" t="s">
        <v>2785</v>
      </c>
      <c r="T598" s="671" t="s">
        <v>3991</v>
      </c>
      <c r="U598" s="671" t="s">
        <v>3941</v>
      </c>
      <c r="V598" s="671" t="s">
        <v>4023</v>
      </c>
      <c r="W598" s="671" t="s">
        <v>3971</v>
      </c>
      <c r="X598" s="671"/>
      <c r="Y598" s="671"/>
      <c r="Z598" s="671"/>
      <c r="AA598" s="671"/>
      <c r="AB598" s="671" t="s">
        <v>3214</v>
      </c>
      <c r="AC598" s="671" t="s">
        <v>3844</v>
      </c>
      <c r="AD598" s="671" t="s">
        <v>2950</v>
      </c>
      <c r="AE598" s="671"/>
      <c r="AF598" s="671"/>
      <c r="AG598" s="671"/>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1:76" x14ac:dyDescent="0.2">
      <c r="A599" s="671" t="s">
        <v>2595</v>
      </c>
      <c r="B599" s="671" t="s">
        <v>3872</v>
      </c>
      <c r="C599" s="671" t="s">
        <v>3874</v>
      </c>
      <c r="D599" s="671"/>
      <c r="E599" s="671"/>
      <c r="F599" s="768">
        <v>31190</v>
      </c>
      <c r="G599" s="671"/>
      <c r="H599" s="671"/>
      <c r="I599" s="671">
        <v>5.3</v>
      </c>
      <c r="J599" s="671" t="s">
        <v>4097</v>
      </c>
      <c r="K599" s="671">
        <v>135</v>
      </c>
      <c r="L599" s="671"/>
      <c r="M599" s="671" t="s">
        <v>3573</v>
      </c>
      <c r="N599" s="671">
        <v>5</v>
      </c>
      <c r="O599" s="671">
        <v>110</v>
      </c>
      <c r="P599" s="768"/>
      <c r="Q599" s="768">
        <v>150</v>
      </c>
      <c r="R599" s="768"/>
      <c r="S599" s="768" t="s">
        <v>2785</v>
      </c>
      <c r="T599" s="671" t="s">
        <v>4000</v>
      </c>
      <c r="U599" s="671" t="s">
        <v>4011</v>
      </c>
      <c r="V599" s="671" t="s">
        <v>4024</v>
      </c>
      <c r="W599" s="671" t="s">
        <v>4037</v>
      </c>
      <c r="X599" s="671" t="s">
        <v>2821</v>
      </c>
      <c r="Y599" s="671" t="s">
        <v>3826</v>
      </c>
      <c r="Z599" s="671"/>
      <c r="AA599" s="671"/>
      <c r="AB599" s="671" t="s">
        <v>3709</v>
      </c>
      <c r="AC599" s="671"/>
      <c r="AD599" s="671"/>
      <c r="AE599" s="671"/>
      <c r="AF599" s="671" t="s">
        <v>3846</v>
      </c>
      <c r="AG599" s="671" t="s">
        <v>3108</v>
      </c>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1:76" x14ac:dyDescent="0.2">
      <c r="A600" s="671" t="s">
        <v>3235</v>
      </c>
      <c r="B600" s="671" t="s">
        <v>3240</v>
      </c>
      <c r="C600" s="671" t="s">
        <v>3284</v>
      </c>
      <c r="D600" s="671"/>
      <c r="E600" s="671"/>
      <c r="F600" s="768">
        <v>41290</v>
      </c>
      <c r="G600" s="671"/>
      <c r="H600" s="671"/>
      <c r="I600" s="671">
        <v>5.2</v>
      </c>
      <c r="J600" s="671" t="s">
        <v>4097</v>
      </c>
      <c r="K600" s="671">
        <v>136</v>
      </c>
      <c r="L600" s="671"/>
      <c r="M600" s="671" t="s">
        <v>3140</v>
      </c>
      <c r="N600" s="671">
        <v>5</v>
      </c>
      <c r="O600" s="671">
        <v>110</v>
      </c>
      <c r="P600" s="768"/>
      <c r="Q600" s="768">
        <v>150</v>
      </c>
      <c r="R600" s="768"/>
      <c r="S600" s="768" t="s">
        <v>2785</v>
      </c>
      <c r="T600" s="671" t="s">
        <v>4001</v>
      </c>
      <c r="U600" s="671" t="s">
        <v>4012</v>
      </c>
      <c r="V600" s="671" t="s">
        <v>4025</v>
      </c>
      <c r="W600" s="671" t="s">
        <v>4038</v>
      </c>
      <c r="X600" s="671" t="s">
        <v>3272</v>
      </c>
      <c r="Y600" s="671" t="s">
        <v>3827</v>
      </c>
      <c r="Z600" s="671"/>
      <c r="AA600" s="671"/>
      <c r="AB600" s="671"/>
      <c r="AC600" s="671"/>
      <c r="AD600" s="671"/>
      <c r="AE600" s="671"/>
      <c r="AF600" s="671" t="s">
        <v>3079</v>
      </c>
      <c r="AG600" s="671" t="s">
        <v>2781</v>
      </c>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1:76" x14ac:dyDescent="0.2">
      <c r="A601" s="671" t="s">
        <v>2988</v>
      </c>
      <c r="B601" s="671" t="s">
        <v>3238</v>
      </c>
      <c r="C601" s="671" t="s">
        <v>3287</v>
      </c>
      <c r="D601" s="671"/>
      <c r="E601" s="671"/>
      <c r="F601" s="768">
        <v>29309</v>
      </c>
      <c r="G601" s="671"/>
      <c r="H601" s="671"/>
      <c r="I601" s="671">
        <v>5.2</v>
      </c>
      <c r="J601" s="671" t="s">
        <v>4097</v>
      </c>
      <c r="K601" s="671">
        <v>136</v>
      </c>
      <c r="L601" s="671"/>
      <c r="M601" s="768" t="s">
        <v>3811</v>
      </c>
      <c r="N601" s="671">
        <v>5</v>
      </c>
      <c r="O601" s="671">
        <v>118</v>
      </c>
      <c r="P601" s="768"/>
      <c r="Q601" s="768">
        <v>160</v>
      </c>
      <c r="R601" s="768"/>
      <c r="S601" s="768" t="s">
        <v>2785</v>
      </c>
      <c r="T601" s="671" t="s">
        <v>4002</v>
      </c>
      <c r="U601" s="671" t="s">
        <v>4013</v>
      </c>
      <c r="V601" s="671" t="s">
        <v>4026</v>
      </c>
      <c r="W601" s="671" t="s">
        <v>3949</v>
      </c>
      <c r="X601" s="671" t="s">
        <v>3101</v>
      </c>
      <c r="Y601" s="671" t="s">
        <v>3828</v>
      </c>
      <c r="Z601" s="671" t="s">
        <v>3274</v>
      </c>
      <c r="AA601" s="671" t="s">
        <v>3829</v>
      </c>
      <c r="AB601" s="671"/>
      <c r="AC601" s="671"/>
      <c r="AD601" s="671"/>
      <c r="AE601" s="671"/>
      <c r="AF601" s="671" t="s">
        <v>3079</v>
      </c>
      <c r="AG601" s="671" t="s">
        <v>2781</v>
      </c>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1:76" x14ac:dyDescent="0.2">
      <c r="A602" s="671" t="s">
        <v>2997</v>
      </c>
      <c r="B602" s="671">
        <v>3008</v>
      </c>
      <c r="C602" s="671" t="s">
        <v>3284</v>
      </c>
      <c r="D602" s="671"/>
      <c r="E602" s="671"/>
      <c r="F602" s="768">
        <v>33000</v>
      </c>
      <c r="G602" s="671"/>
      <c r="H602" s="671"/>
      <c r="I602" s="671">
        <v>5.2</v>
      </c>
      <c r="J602" s="671" t="s">
        <v>4097</v>
      </c>
      <c r="K602" s="671">
        <v>136</v>
      </c>
      <c r="L602" s="671"/>
      <c r="M602" s="768" t="s">
        <v>3140</v>
      </c>
      <c r="N602" s="671">
        <v>5</v>
      </c>
      <c r="O602" s="671">
        <v>90</v>
      </c>
      <c r="P602" s="768"/>
      <c r="Q602" s="768">
        <v>122</v>
      </c>
      <c r="R602" s="768"/>
      <c r="S602" s="768" t="s">
        <v>2785</v>
      </c>
      <c r="T602" s="671" t="s">
        <v>4003</v>
      </c>
      <c r="U602" s="671" t="s">
        <v>4014</v>
      </c>
      <c r="V602" s="671" t="s">
        <v>4027</v>
      </c>
      <c r="W602" s="671" t="s">
        <v>4039</v>
      </c>
      <c r="X602" s="671" t="s">
        <v>3775</v>
      </c>
      <c r="Y602" s="671" t="s">
        <v>3830</v>
      </c>
      <c r="Z602" s="671" t="s">
        <v>3831</v>
      </c>
      <c r="AA602" s="671" t="s">
        <v>3832</v>
      </c>
      <c r="AB602" s="671" t="s">
        <v>3845</v>
      </c>
      <c r="AC602" s="671"/>
      <c r="AD602" s="671"/>
      <c r="AE602" s="671"/>
      <c r="AF602" s="671" t="s">
        <v>3079</v>
      </c>
      <c r="AG602" s="671" t="s">
        <v>2781</v>
      </c>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1:76" x14ac:dyDescent="0.2">
      <c r="A603" s="671" t="s">
        <v>2540</v>
      </c>
      <c r="B603" s="671" t="s">
        <v>2945</v>
      </c>
      <c r="C603" s="671" t="s">
        <v>2821</v>
      </c>
      <c r="D603" s="671"/>
      <c r="E603" s="671"/>
      <c r="F603" s="768">
        <v>30120</v>
      </c>
      <c r="G603" s="671"/>
      <c r="H603" s="671"/>
      <c r="I603" s="671">
        <v>5.2</v>
      </c>
      <c r="J603" s="671" t="s">
        <v>4097</v>
      </c>
      <c r="K603" s="671">
        <v>136</v>
      </c>
      <c r="L603" s="671"/>
      <c r="M603" s="768" t="s">
        <v>3140</v>
      </c>
      <c r="N603" s="671">
        <v>5</v>
      </c>
      <c r="O603" s="671">
        <v>88</v>
      </c>
      <c r="P603" s="671"/>
      <c r="Q603" s="671">
        <v>120</v>
      </c>
      <c r="R603" s="671"/>
      <c r="S603" s="671" t="s">
        <v>2785</v>
      </c>
      <c r="T603" s="671" t="s">
        <v>4004</v>
      </c>
      <c r="U603" s="671" t="s">
        <v>4015</v>
      </c>
      <c r="V603" s="671" t="s">
        <v>4028</v>
      </c>
      <c r="W603" s="671" t="s">
        <v>4040</v>
      </c>
      <c r="X603" s="671" t="s">
        <v>3833</v>
      </c>
      <c r="Y603" s="671" t="s">
        <v>3834</v>
      </c>
      <c r="Z603" s="671" t="s">
        <v>3833</v>
      </c>
      <c r="AA603" s="671" t="s">
        <v>3835</v>
      </c>
      <c r="AB603" s="671" t="s">
        <v>3175</v>
      </c>
      <c r="AC603" s="671" t="s">
        <v>3176</v>
      </c>
      <c r="AD603" s="671"/>
      <c r="AE603" s="671"/>
      <c r="AF603" s="671"/>
      <c r="AG603" s="671"/>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1:76" x14ac:dyDescent="0.2">
      <c r="A604" s="671" t="s">
        <v>2997</v>
      </c>
      <c r="B604" s="671">
        <v>5008</v>
      </c>
      <c r="C604" s="671" t="s">
        <v>3284</v>
      </c>
      <c r="D604" s="671"/>
      <c r="E604" s="671"/>
      <c r="F604" s="768">
        <v>34900</v>
      </c>
      <c r="G604" s="671"/>
      <c r="H604" s="671"/>
      <c r="I604" s="671">
        <v>5.3</v>
      </c>
      <c r="J604" s="671" t="s">
        <v>4097</v>
      </c>
      <c r="K604" s="671">
        <v>137</v>
      </c>
      <c r="L604" s="671"/>
      <c r="M604" s="770" t="s">
        <v>3140</v>
      </c>
      <c r="N604" s="768">
        <v>5</v>
      </c>
      <c r="O604" s="768">
        <v>75</v>
      </c>
      <c r="P604" s="768"/>
      <c r="Q604" s="768">
        <v>100</v>
      </c>
      <c r="R604" s="768"/>
      <c r="S604" s="768" t="s">
        <v>2785</v>
      </c>
      <c r="T604" s="768" t="s">
        <v>4054</v>
      </c>
      <c r="U604" s="768" t="s">
        <v>4066</v>
      </c>
      <c r="V604" s="768" t="s">
        <v>4077</v>
      </c>
      <c r="W604" s="768" t="s">
        <v>3971</v>
      </c>
      <c r="X604" s="768" t="s">
        <v>3284</v>
      </c>
      <c r="Y604" s="671" t="s">
        <v>3854</v>
      </c>
      <c r="Z604" s="671"/>
      <c r="AA604" s="671"/>
      <c r="AB604" s="768" t="s">
        <v>3249</v>
      </c>
      <c r="AC604" s="671" t="s">
        <v>3218</v>
      </c>
      <c r="AD604" s="768" t="s">
        <v>3282</v>
      </c>
      <c r="AE604" s="671" t="s">
        <v>3234</v>
      </c>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1:76" x14ac:dyDescent="0.2">
      <c r="A605" s="671" t="s">
        <v>2989</v>
      </c>
      <c r="B605" s="671" t="s">
        <v>3239</v>
      </c>
      <c r="C605" s="671" t="s">
        <v>3284</v>
      </c>
      <c r="D605" s="671" t="s">
        <v>2911</v>
      </c>
      <c r="E605" s="671"/>
      <c r="F605" s="768">
        <v>29390</v>
      </c>
      <c r="G605" s="671"/>
      <c r="H605" s="671"/>
      <c r="I605" s="671">
        <v>5.2</v>
      </c>
      <c r="J605" s="671" t="s">
        <v>4097</v>
      </c>
      <c r="K605" s="671">
        <v>138</v>
      </c>
      <c r="L605" s="671"/>
      <c r="M605" s="671" t="s">
        <v>3616</v>
      </c>
      <c r="N605" s="768">
        <v>5</v>
      </c>
      <c r="O605" s="768">
        <v>85</v>
      </c>
      <c r="P605" s="768"/>
      <c r="Q605" s="768">
        <v>116</v>
      </c>
      <c r="R605" s="768"/>
      <c r="S605" s="768" t="s">
        <v>2785</v>
      </c>
      <c r="T605" s="768" t="s">
        <v>4055</v>
      </c>
      <c r="U605" s="768" t="s">
        <v>4005</v>
      </c>
      <c r="V605" s="671" t="s">
        <v>3949</v>
      </c>
      <c r="W605" s="671" t="s">
        <v>4088</v>
      </c>
      <c r="X605" s="671" t="s">
        <v>3281</v>
      </c>
      <c r="Y605" s="671" t="s">
        <v>3855</v>
      </c>
      <c r="Z605" s="671" t="s">
        <v>3274</v>
      </c>
      <c r="AA605" s="671" t="s">
        <v>3856</v>
      </c>
      <c r="AB605" s="768"/>
      <c r="AC605" s="768"/>
      <c r="AD605" s="768" t="s">
        <v>3282</v>
      </c>
      <c r="AE605" s="671" t="s">
        <v>3234</v>
      </c>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1:76" x14ac:dyDescent="0.2">
      <c r="A606" s="671" t="s">
        <v>3110</v>
      </c>
      <c r="B606" s="671" t="s">
        <v>3242</v>
      </c>
      <c r="C606" s="671" t="s">
        <v>2821</v>
      </c>
      <c r="D606" s="671"/>
      <c r="E606" s="671"/>
      <c r="F606" s="768">
        <v>25880</v>
      </c>
      <c r="G606" s="671"/>
      <c r="H606" s="671"/>
      <c r="I606" s="671">
        <v>5</v>
      </c>
      <c r="J606" s="671" t="s">
        <v>4097</v>
      </c>
      <c r="K606" s="671">
        <v>139</v>
      </c>
      <c r="L606" s="671"/>
      <c r="M606" s="671" t="s">
        <v>3140</v>
      </c>
      <c r="N606" s="768">
        <v>5</v>
      </c>
      <c r="O606" s="768">
        <v>75</v>
      </c>
      <c r="P606" s="768"/>
      <c r="Q606" s="768">
        <v>102</v>
      </c>
      <c r="R606" s="768"/>
      <c r="S606" s="768" t="s">
        <v>2785</v>
      </c>
      <c r="T606" s="768" t="s">
        <v>4056</v>
      </c>
      <c r="U606" s="768" t="s">
        <v>4067</v>
      </c>
      <c r="V606" s="671" t="s">
        <v>4078</v>
      </c>
      <c r="W606" s="671" t="s">
        <v>4089</v>
      </c>
      <c r="X606" s="671" t="s">
        <v>3857</v>
      </c>
      <c r="Y606" s="671" t="s">
        <v>3858</v>
      </c>
      <c r="Z606" s="671"/>
      <c r="AA606" s="671"/>
      <c r="AB606" s="768" t="s">
        <v>3259</v>
      </c>
      <c r="AC606" s="768"/>
      <c r="AD606" s="768"/>
      <c r="AE606" s="671"/>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1:76" x14ac:dyDescent="0.2">
      <c r="A607" s="771" t="s">
        <v>2989</v>
      </c>
      <c r="B607" s="768" t="s">
        <v>2743</v>
      </c>
      <c r="C607" s="671" t="s">
        <v>2949</v>
      </c>
      <c r="D607" s="671" t="s">
        <v>2911</v>
      </c>
      <c r="E607" s="671"/>
      <c r="F607" s="768">
        <v>18290</v>
      </c>
      <c r="G607" s="671"/>
      <c r="H607" s="671"/>
      <c r="I607" s="671">
        <v>4.5</v>
      </c>
      <c r="J607" s="671" t="s">
        <v>4098</v>
      </c>
      <c r="K607" s="671">
        <v>117</v>
      </c>
      <c r="L607" s="671"/>
      <c r="M607" s="671" t="s">
        <v>3140</v>
      </c>
      <c r="N607" s="768">
        <v>5</v>
      </c>
      <c r="O607" s="768">
        <v>85</v>
      </c>
      <c r="P607" s="768"/>
      <c r="Q607" s="768">
        <v>115</v>
      </c>
      <c r="R607" s="768"/>
      <c r="S607" s="768" t="s">
        <v>2785</v>
      </c>
      <c r="T607" s="768" t="s">
        <v>4057</v>
      </c>
      <c r="U607" s="768" t="s">
        <v>4068</v>
      </c>
      <c r="V607" s="671" t="s">
        <v>4079</v>
      </c>
      <c r="W607" s="671" t="s">
        <v>4090</v>
      </c>
      <c r="X607" s="671"/>
      <c r="Y607" s="671"/>
      <c r="Z607" s="671"/>
      <c r="AA607" s="671"/>
      <c r="AB607" s="768" t="s">
        <v>2717</v>
      </c>
      <c r="AC607" s="768" t="s">
        <v>3868</v>
      </c>
      <c r="AD607" s="768" t="s">
        <v>3282</v>
      </c>
      <c r="AE607" s="671" t="s">
        <v>3234</v>
      </c>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1:76" x14ac:dyDescent="0.2">
      <c r="A608" s="671" t="s">
        <v>2988</v>
      </c>
      <c r="B608" s="671" t="s">
        <v>3608</v>
      </c>
      <c r="C608" s="770">
        <v>44317</v>
      </c>
      <c r="D608" s="768"/>
      <c r="E608" s="768"/>
      <c r="F608" s="768" t="s">
        <v>3895</v>
      </c>
      <c r="G608" s="768"/>
      <c r="H608" s="768"/>
      <c r="I608" s="768">
        <v>4.0999999999999996</v>
      </c>
      <c r="J608" s="671" t="s">
        <v>4098</v>
      </c>
      <c r="K608" s="768">
        <v>107</v>
      </c>
      <c r="L608" s="768"/>
      <c r="M608" s="671" t="s">
        <v>3140</v>
      </c>
      <c r="N608" s="768">
        <v>5</v>
      </c>
      <c r="O608" s="768">
        <v>70</v>
      </c>
      <c r="P608" s="768"/>
      <c r="Q608" s="768">
        <v>95</v>
      </c>
      <c r="R608" s="768"/>
      <c r="S608" s="768" t="s">
        <v>2762</v>
      </c>
      <c r="T608" s="768" t="s">
        <v>4058</v>
      </c>
      <c r="U608" s="768" t="s">
        <v>4069</v>
      </c>
      <c r="V608" s="671" t="s">
        <v>4080</v>
      </c>
      <c r="W608" s="671" t="s">
        <v>4091</v>
      </c>
      <c r="X608" s="671"/>
      <c r="Y608" s="671"/>
      <c r="Z608" s="671"/>
      <c r="AA608" s="671"/>
      <c r="AB608" s="768" t="s">
        <v>3254</v>
      </c>
      <c r="AC608" s="768" t="s">
        <v>3255</v>
      </c>
      <c r="AD608" s="768"/>
      <c r="AE608" s="671"/>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1:76" x14ac:dyDescent="0.2">
      <c r="A609" s="671" t="s">
        <v>2540</v>
      </c>
      <c r="B609" s="671" t="s">
        <v>3261</v>
      </c>
      <c r="C609" s="671" t="s">
        <v>2831</v>
      </c>
      <c r="D609" s="768"/>
      <c r="E609" s="768"/>
      <c r="F609" s="768" t="s">
        <v>3896</v>
      </c>
      <c r="G609" s="768"/>
      <c r="H609" s="768"/>
      <c r="I609" s="768">
        <v>4.0999999999999996</v>
      </c>
      <c r="J609" s="671" t="s">
        <v>4098</v>
      </c>
      <c r="K609" s="768">
        <v>107</v>
      </c>
      <c r="L609" s="768"/>
      <c r="M609" s="671" t="s">
        <v>3573</v>
      </c>
      <c r="N609" s="768">
        <v>5</v>
      </c>
      <c r="O609" s="768">
        <v>70</v>
      </c>
      <c r="P609" s="768"/>
      <c r="Q609" s="768">
        <v>95</v>
      </c>
      <c r="R609" s="768"/>
      <c r="S609" s="768" t="s">
        <v>2762</v>
      </c>
      <c r="T609" s="768" t="s">
        <v>4059</v>
      </c>
      <c r="U609" s="768" t="s">
        <v>4070</v>
      </c>
      <c r="V609" s="671" t="s">
        <v>4081</v>
      </c>
      <c r="W609" s="671" t="s">
        <v>4092</v>
      </c>
      <c r="X609" s="671" t="s">
        <v>3850</v>
      </c>
      <c r="Y609" s="671" t="s">
        <v>3858</v>
      </c>
      <c r="Z609" s="671"/>
      <c r="AA609" s="671"/>
      <c r="AB609" s="768" t="s">
        <v>3869</v>
      </c>
      <c r="AC609" s="768"/>
      <c r="AD609" s="768" t="s">
        <v>3282</v>
      </c>
      <c r="AE609" s="671" t="s">
        <v>3234</v>
      </c>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1:76" x14ac:dyDescent="0.2">
      <c r="A610" s="671" t="s">
        <v>2997</v>
      </c>
      <c r="B610" s="671">
        <v>208</v>
      </c>
      <c r="C610" s="671" t="s">
        <v>2949</v>
      </c>
      <c r="D610" s="768" t="s">
        <v>2911</v>
      </c>
      <c r="E610" s="768"/>
      <c r="F610" s="768" t="s">
        <v>3897</v>
      </c>
      <c r="G610" s="768"/>
      <c r="H610" s="768"/>
      <c r="I610" s="768">
        <v>4.0999999999999996</v>
      </c>
      <c r="J610" s="671" t="s">
        <v>4098</v>
      </c>
      <c r="K610" s="768">
        <v>108</v>
      </c>
      <c r="L610" s="768"/>
      <c r="M610" s="671" t="s">
        <v>3573</v>
      </c>
      <c r="N610" s="768">
        <v>5</v>
      </c>
      <c r="O610" s="768">
        <v>74</v>
      </c>
      <c r="P610" s="768"/>
      <c r="Q610" s="768">
        <v>100</v>
      </c>
      <c r="R610" s="768"/>
      <c r="S610" s="768" t="s">
        <v>2785</v>
      </c>
      <c r="T610" s="768" t="s">
        <v>4060</v>
      </c>
      <c r="U610" s="768" t="s">
        <v>4071</v>
      </c>
      <c r="V610" s="671" t="s">
        <v>4082</v>
      </c>
      <c r="W610" s="671" t="s">
        <v>4029</v>
      </c>
      <c r="X610" s="671" t="s">
        <v>3262</v>
      </c>
      <c r="Y610" s="671" t="s">
        <v>3859</v>
      </c>
      <c r="Z610" s="671"/>
      <c r="AA610" s="671"/>
      <c r="AB610" s="768" t="s">
        <v>3870</v>
      </c>
      <c r="AC610" s="768" t="s">
        <v>3796</v>
      </c>
      <c r="AD610" s="768" t="s">
        <v>3072</v>
      </c>
      <c r="AE610" s="671" t="s">
        <v>3234</v>
      </c>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1:76" x14ac:dyDescent="0.2">
      <c r="A611" s="671" t="s">
        <v>2992</v>
      </c>
      <c r="B611" s="671" t="s">
        <v>2542</v>
      </c>
      <c r="C611" s="671" t="s">
        <v>3768</v>
      </c>
      <c r="D611" s="768"/>
      <c r="E611" s="768"/>
      <c r="F611" s="768" t="s">
        <v>3898</v>
      </c>
      <c r="G611" s="768"/>
      <c r="H611" s="768"/>
      <c r="I611" s="768">
        <v>4.2</v>
      </c>
      <c r="J611" s="671" t="s">
        <v>4098</v>
      </c>
      <c r="K611" s="768">
        <v>109</v>
      </c>
      <c r="L611" s="768"/>
      <c r="M611" s="671" t="s">
        <v>3572</v>
      </c>
      <c r="N611" s="768">
        <v>5</v>
      </c>
      <c r="O611" s="768">
        <v>85</v>
      </c>
      <c r="P611" s="768"/>
      <c r="Q611" s="768">
        <v>116</v>
      </c>
      <c r="R611" s="768"/>
      <c r="S611" s="768" t="s">
        <v>2785</v>
      </c>
      <c r="T611" s="768" t="s">
        <v>4061</v>
      </c>
      <c r="U611" s="768" t="s">
        <v>4072</v>
      </c>
      <c r="V611" s="671" t="s">
        <v>4083</v>
      </c>
      <c r="W611" s="671" t="s">
        <v>4093</v>
      </c>
      <c r="X611" s="671" t="s">
        <v>2952</v>
      </c>
      <c r="Y611" s="671" t="s">
        <v>3860</v>
      </c>
      <c r="Z611" s="671"/>
      <c r="AA611" s="671"/>
      <c r="AB611" s="768" t="s">
        <v>3730</v>
      </c>
      <c r="AC611" s="768"/>
      <c r="AD611" s="768"/>
      <c r="AE611" s="671"/>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1:76" x14ac:dyDescent="0.2">
      <c r="A612" s="671" t="s">
        <v>2995</v>
      </c>
      <c r="B612" s="671" t="s">
        <v>2898</v>
      </c>
      <c r="C612" s="671" t="s">
        <v>3258</v>
      </c>
      <c r="D612" s="768" t="s">
        <v>2911</v>
      </c>
      <c r="E612" s="768"/>
      <c r="F612" s="768" t="s">
        <v>3899</v>
      </c>
      <c r="G612" s="768"/>
      <c r="H612" s="768"/>
      <c r="I612" s="768">
        <v>4.2</v>
      </c>
      <c r="J612" s="671" t="s">
        <v>4098</v>
      </c>
      <c r="K612" s="768">
        <v>111</v>
      </c>
      <c r="L612" s="768"/>
      <c r="M612" s="671" t="s">
        <v>3140</v>
      </c>
      <c r="N612" s="768">
        <v>5</v>
      </c>
      <c r="O612" s="768">
        <v>85</v>
      </c>
      <c r="P612" s="768"/>
      <c r="Q612" s="768">
        <v>116</v>
      </c>
      <c r="R612" s="768"/>
      <c r="S612" s="768" t="s">
        <v>2785</v>
      </c>
      <c r="T612" s="768" t="s">
        <v>4062</v>
      </c>
      <c r="U612" s="768" t="s">
        <v>4073</v>
      </c>
      <c r="V612" s="671" t="s">
        <v>4084</v>
      </c>
      <c r="W612" s="671" t="s">
        <v>4094</v>
      </c>
      <c r="X612" s="671" t="s">
        <v>3861</v>
      </c>
      <c r="Y612" s="671" t="s">
        <v>3862</v>
      </c>
      <c r="Z612" s="671" t="s">
        <v>3863</v>
      </c>
      <c r="AA612" s="671" t="s">
        <v>3864</v>
      </c>
      <c r="AB612" s="768" t="s">
        <v>2927</v>
      </c>
      <c r="AC612" s="768"/>
      <c r="AD612" s="768" t="s">
        <v>3282</v>
      </c>
      <c r="AE612" s="768" t="s">
        <v>3234</v>
      </c>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1:76" x14ac:dyDescent="0.2">
      <c r="A613" s="671" t="s">
        <v>2988</v>
      </c>
      <c r="B613" s="671" t="s">
        <v>3131</v>
      </c>
      <c r="C613" s="671" t="s">
        <v>3287</v>
      </c>
      <c r="D613" s="768"/>
      <c r="E613" s="768"/>
      <c r="F613" s="768" t="s">
        <v>3900</v>
      </c>
      <c r="G613" s="768"/>
      <c r="H613" s="768"/>
      <c r="I613" s="768">
        <v>4.3</v>
      </c>
      <c r="J613" s="671" t="s">
        <v>4098</v>
      </c>
      <c r="K613" s="768">
        <v>112</v>
      </c>
      <c r="L613" s="768"/>
      <c r="M613" s="671" t="s">
        <v>3573</v>
      </c>
      <c r="N613" s="768">
        <v>5</v>
      </c>
      <c r="O613" s="768">
        <v>85</v>
      </c>
      <c r="P613" s="768"/>
      <c r="Q613" s="768">
        <v>115</v>
      </c>
      <c r="R613" s="768"/>
      <c r="S613" s="768" t="s">
        <v>2785</v>
      </c>
      <c r="T613" s="768" t="s">
        <v>4063</v>
      </c>
      <c r="U613" s="768" t="s">
        <v>3929</v>
      </c>
      <c r="V613" s="671" t="s">
        <v>4085</v>
      </c>
      <c r="W613" s="671" t="s">
        <v>4095</v>
      </c>
      <c r="X613" s="671"/>
      <c r="Y613" s="671"/>
      <c r="Z613" s="671"/>
      <c r="AA613" s="671"/>
      <c r="AB613" s="768" t="s">
        <v>2794</v>
      </c>
      <c r="AC613" s="768" t="s">
        <v>3155</v>
      </c>
      <c r="AD613" s="768"/>
      <c r="AE613" s="671"/>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1:76" x14ac:dyDescent="0.2">
      <c r="A614" s="671" t="s">
        <v>2993</v>
      </c>
      <c r="B614" s="671" t="s">
        <v>3764</v>
      </c>
      <c r="C614" s="671" t="s">
        <v>3769</v>
      </c>
      <c r="D614" s="768"/>
      <c r="E614" s="768"/>
      <c r="F614" s="768" t="s">
        <v>3901</v>
      </c>
      <c r="G614" s="768"/>
      <c r="H614" s="768"/>
      <c r="I614" s="768">
        <v>4.4000000000000004</v>
      </c>
      <c r="J614" s="671" t="s">
        <v>4098</v>
      </c>
      <c r="K614" s="768">
        <v>114</v>
      </c>
      <c r="L614" s="768"/>
      <c r="M614" s="671" t="s">
        <v>3573</v>
      </c>
      <c r="N614" s="768">
        <v>5</v>
      </c>
      <c r="O614" s="768">
        <v>85</v>
      </c>
      <c r="P614" s="768"/>
      <c r="Q614" s="768">
        <v>115</v>
      </c>
      <c r="R614" s="768"/>
      <c r="S614" s="768" t="s">
        <v>2785</v>
      </c>
      <c r="T614" s="768" t="s">
        <v>4064</v>
      </c>
      <c r="U614" s="768" t="s">
        <v>4074</v>
      </c>
      <c r="V614" s="671" t="s">
        <v>4086</v>
      </c>
      <c r="W614" s="671" t="s">
        <v>4029</v>
      </c>
      <c r="X614" s="671" t="s">
        <v>3865</v>
      </c>
      <c r="Y614" s="671" t="s">
        <v>3866</v>
      </c>
      <c r="Z614" s="671"/>
      <c r="AA614" s="671"/>
      <c r="AB614" s="768" t="s">
        <v>3871</v>
      </c>
      <c r="AC614" s="768"/>
      <c r="AD614" s="768"/>
      <c r="AE614" s="768"/>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1:76" x14ac:dyDescent="0.2">
      <c r="A615" s="671" t="s">
        <v>3087</v>
      </c>
      <c r="B615" s="671" t="s">
        <v>3088</v>
      </c>
      <c r="C615" s="671" t="s">
        <v>3286</v>
      </c>
      <c r="D615" s="768" t="s">
        <v>3139</v>
      </c>
      <c r="E615" s="768"/>
      <c r="F615" s="768" t="s">
        <v>3902</v>
      </c>
      <c r="G615" s="768"/>
      <c r="H615" s="768"/>
      <c r="I615" s="768">
        <v>4.4000000000000004</v>
      </c>
      <c r="J615" s="671" t="s">
        <v>4098</v>
      </c>
      <c r="K615" s="768">
        <v>116</v>
      </c>
      <c r="L615" s="768"/>
      <c r="M615" s="671" t="s">
        <v>3573</v>
      </c>
      <c r="N615" s="768">
        <v>5</v>
      </c>
      <c r="O615" s="768">
        <v>55</v>
      </c>
      <c r="P615" s="768"/>
      <c r="Q615" s="768">
        <v>75</v>
      </c>
      <c r="R615" s="768"/>
      <c r="S615" s="768" t="s">
        <v>2785</v>
      </c>
      <c r="T615" s="768" t="s">
        <v>4065</v>
      </c>
      <c r="U615" s="768" t="s">
        <v>4075</v>
      </c>
      <c r="V615" s="671" t="s">
        <v>4087</v>
      </c>
      <c r="W615" s="671" t="s">
        <v>4096</v>
      </c>
      <c r="X615" s="671" t="s">
        <v>3266</v>
      </c>
      <c r="Y615" s="671" t="s">
        <v>3867</v>
      </c>
      <c r="Z615" s="671"/>
      <c r="AA615" s="671"/>
      <c r="AB615" s="768" t="s">
        <v>3232</v>
      </c>
      <c r="AC615" s="768"/>
      <c r="AD615" s="768" t="s">
        <v>3072</v>
      </c>
      <c r="AE615" s="768" t="s">
        <v>3234</v>
      </c>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1:76" x14ac:dyDescent="0.2">
      <c r="A616" s="671" t="s">
        <v>2995</v>
      </c>
      <c r="B616" s="671" t="s">
        <v>3095</v>
      </c>
      <c r="C616" s="671" t="s">
        <v>3770</v>
      </c>
      <c r="D616" s="768"/>
      <c r="E616" s="768"/>
      <c r="F616" s="768" t="s">
        <v>3903</v>
      </c>
      <c r="G616" s="768"/>
      <c r="H616" s="768"/>
      <c r="I616" s="768">
        <v>4.5</v>
      </c>
      <c r="J616" s="671" t="s">
        <v>4098</v>
      </c>
      <c r="K616" s="768">
        <v>117</v>
      </c>
      <c r="L616" s="768"/>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1:76" x14ac:dyDescent="0.2">
      <c r="A617" s="671" t="s">
        <v>2992</v>
      </c>
      <c r="B617" s="671" t="s">
        <v>3765</v>
      </c>
      <c r="C617" s="671" t="s">
        <v>3270</v>
      </c>
      <c r="D617" s="768"/>
      <c r="E617" s="768"/>
      <c r="F617" s="768" t="s">
        <v>3904</v>
      </c>
      <c r="G617" s="768"/>
      <c r="H617" s="768"/>
      <c r="I617" s="768">
        <v>4.5</v>
      </c>
      <c r="J617" s="671" t="s">
        <v>4098</v>
      </c>
      <c r="K617" s="768">
        <v>117</v>
      </c>
      <c r="L617" s="768"/>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1:76" x14ac:dyDescent="0.2">
      <c r="A618" s="671" t="s">
        <v>2539</v>
      </c>
      <c r="B618" s="671" t="s">
        <v>3766</v>
      </c>
      <c r="C618" s="671" t="s">
        <v>3771</v>
      </c>
      <c r="D618" s="768"/>
      <c r="E618" s="768"/>
      <c r="F618" s="768" t="s">
        <v>3905</v>
      </c>
      <c r="G618" s="768"/>
      <c r="H618" s="768"/>
      <c r="I618" s="768">
        <v>4.5</v>
      </c>
      <c r="J618" s="671" t="s">
        <v>4098</v>
      </c>
      <c r="K618" s="768">
        <v>118</v>
      </c>
      <c r="L618" s="768"/>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1:76" x14ac:dyDescent="0.2">
      <c r="A619" s="671" t="s">
        <v>2989</v>
      </c>
      <c r="B619" s="671" t="s">
        <v>2931</v>
      </c>
      <c r="C619" s="671" t="s">
        <v>2949</v>
      </c>
      <c r="D619" s="768" t="s">
        <v>3139</v>
      </c>
      <c r="E619" s="768"/>
      <c r="F619" s="768" t="s">
        <v>3906</v>
      </c>
      <c r="G619" s="768"/>
      <c r="H619" s="768"/>
      <c r="I619" s="768">
        <v>4.5</v>
      </c>
      <c r="J619" s="671" t="s">
        <v>4098</v>
      </c>
      <c r="K619" s="768">
        <v>118</v>
      </c>
      <c r="L619" s="768"/>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1:76" x14ac:dyDescent="0.2">
      <c r="A620" s="671" t="s">
        <v>2995</v>
      </c>
      <c r="B620" s="671" t="s">
        <v>3767</v>
      </c>
      <c r="C620" s="671" t="s">
        <v>3770</v>
      </c>
      <c r="D620" s="768"/>
      <c r="E620" s="768"/>
      <c r="F620" s="768" t="s">
        <v>3907</v>
      </c>
      <c r="G620" s="768"/>
      <c r="H620" s="768"/>
      <c r="I620" s="768">
        <v>4.5</v>
      </c>
      <c r="J620" s="671" t="s">
        <v>4098</v>
      </c>
      <c r="K620" s="768">
        <v>118</v>
      </c>
      <c r="L620" s="768"/>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1:76" x14ac:dyDescent="0.2">
      <c r="A621" s="671" t="s">
        <v>3096</v>
      </c>
      <c r="B621" s="671" t="s">
        <v>3130</v>
      </c>
      <c r="C621" s="671" t="s">
        <v>2952</v>
      </c>
      <c r="D621" s="768"/>
      <c r="E621" s="768"/>
      <c r="F621" s="768" t="s">
        <v>3908</v>
      </c>
      <c r="G621" s="768"/>
      <c r="H621" s="768"/>
      <c r="I621" s="768">
        <v>4.5999999999999996</v>
      </c>
      <c r="J621" s="671" t="s">
        <v>4098</v>
      </c>
      <c r="K621" s="768">
        <v>118</v>
      </c>
      <c r="L621" s="768"/>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1:76" x14ac:dyDescent="0.2">
      <c r="A622" s="671" t="s">
        <v>3100</v>
      </c>
      <c r="B622" s="671" t="s">
        <v>2799</v>
      </c>
      <c r="C622" s="671" t="s">
        <v>3772</v>
      </c>
      <c r="D622" s="768"/>
      <c r="E622" s="768"/>
      <c r="F622" s="768" t="s">
        <v>3909</v>
      </c>
      <c r="G622" s="768"/>
      <c r="H622" s="768"/>
      <c r="I622" s="768">
        <v>4.5</v>
      </c>
      <c r="J622" s="671" t="s">
        <v>4098</v>
      </c>
      <c r="K622" s="768">
        <v>118</v>
      </c>
      <c r="L622" s="768"/>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1:76" x14ac:dyDescent="0.2">
      <c r="A623" s="671" t="s">
        <v>2997</v>
      </c>
      <c r="B623" s="671">
        <v>308</v>
      </c>
      <c r="C623" s="671" t="s">
        <v>2949</v>
      </c>
      <c r="D623" s="768"/>
      <c r="E623" s="768"/>
      <c r="F623" s="768" t="s">
        <v>3910</v>
      </c>
      <c r="G623" s="768"/>
      <c r="H623" s="768"/>
      <c r="I623" s="768">
        <v>4.5</v>
      </c>
      <c r="J623" s="671" t="s">
        <v>4098</v>
      </c>
      <c r="K623" s="768">
        <v>118</v>
      </c>
      <c r="L623" s="768"/>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1:76" x14ac:dyDescent="0.2">
      <c r="A624" s="671" t="s">
        <v>2988</v>
      </c>
      <c r="B624" s="768" t="s">
        <v>2792</v>
      </c>
      <c r="C624" s="768" t="s">
        <v>3287</v>
      </c>
      <c r="D624" s="768"/>
      <c r="E624" s="768"/>
      <c r="F624" s="768" t="s">
        <v>3973</v>
      </c>
      <c r="G624" s="768"/>
      <c r="H624" s="671"/>
      <c r="I624" s="768">
        <v>4.3</v>
      </c>
      <c r="J624" s="671" t="s">
        <v>4098</v>
      </c>
      <c r="K624" s="768">
        <v>113</v>
      </c>
      <c r="L624" s="671"/>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1:76" x14ac:dyDescent="0.2">
      <c r="A625" s="671" t="s">
        <v>2991</v>
      </c>
      <c r="B625" s="768" t="s">
        <v>3673</v>
      </c>
      <c r="C625" s="768" t="s">
        <v>3806</v>
      </c>
      <c r="D625" s="768"/>
      <c r="E625" s="768"/>
      <c r="F625" s="768" t="s">
        <v>3974</v>
      </c>
      <c r="G625" s="768"/>
      <c r="H625" s="671"/>
      <c r="I625" s="768">
        <v>4.4000000000000004</v>
      </c>
      <c r="J625" s="671" t="s">
        <v>4098</v>
      </c>
      <c r="K625" s="768">
        <v>117</v>
      </c>
      <c r="L625" s="768"/>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1:76" x14ac:dyDescent="0.2">
      <c r="A626" s="671" t="s">
        <v>3096</v>
      </c>
      <c r="B626" s="768" t="s">
        <v>3196</v>
      </c>
      <c r="C626" s="768" t="s">
        <v>2952</v>
      </c>
      <c r="D626" s="768"/>
      <c r="E626" s="768"/>
      <c r="F626" s="768" t="s">
        <v>3908</v>
      </c>
      <c r="G626" s="768"/>
      <c r="H626" s="671"/>
      <c r="I626" s="768">
        <v>4.5</v>
      </c>
      <c r="J626" s="671" t="s">
        <v>4098</v>
      </c>
      <c r="K626" s="768">
        <v>118</v>
      </c>
      <c r="L626" s="768"/>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1:76" x14ac:dyDescent="0.2">
      <c r="A627" s="671" t="s">
        <v>3100</v>
      </c>
      <c r="B627" s="768" t="s">
        <v>3800</v>
      </c>
      <c r="C627" s="768" t="s">
        <v>3807</v>
      </c>
      <c r="D627" s="768"/>
      <c r="E627" s="768"/>
      <c r="F627" s="768" t="s">
        <v>3975</v>
      </c>
      <c r="G627" s="768"/>
      <c r="H627" s="671"/>
      <c r="I627" s="768">
        <v>4.5</v>
      </c>
      <c r="J627" s="671" t="s">
        <v>4098</v>
      </c>
      <c r="K627" s="768">
        <v>118</v>
      </c>
      <c r="L627" s="671"/>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1:76" x14ac:dyDescent="0.2">
      <c r="A628" s="671" t="s">
        <v>2992</v>
      </c>
      <c r="B628" s="768" t="s">
        <v>2790</v>
      </c>
      <c r="C628" s="768" t="s">
        <v>3270</v>
      </c>
      <c r="D628" s="768"/>
      <c r="E628" s="768"/>
      <c r="F628" s="768" t="s">
        <v>3976</v>
      </c>
      <c r="G628" s="768"/>
      <c r="H628" s="671"/>
      <c r="I628" s="768">
        <v>4.5</v>
      </c>
      <c r="J628" s="671" t="s">
        <v>4098</v>
      </c>
      <c r="K628" s="768">
        <v>118</v>
      </c>
      <c r="L628" s="768"/>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1:76" x14ac:dyDescent="0.2">
      <c r="A629" s="671" t="s">
        <v>2995</v>
      </c>
      <c r="B629" s="768" t="s">
        <v>3672</v>
      </c>
      <c r="C629" s="768" t="s">
        <v>3262</v>
      </c>
      <c r="D629" s="768"/>
      <c r="E629" s="768"/>
      <c r="F629" s="768" t="s">
        <v>3977</v>
      </c>
      <c r="G629" s="768"/>
      <c r="H629" s="671"/>
      <c r="I629" s="768">
        <v>4.5</v>
      </c>
      <c r="J629" s="671" t="s">
        <v>4098</v>
      </c>
      <c r="K629" s="768">
        <v>119</v>
      </c>
      <c r="L629" s="768"/>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1:76" x14ac:dyDescent="0.2">
      <c r="A630" s="671" t="s">
        <v>2985</v>
      </c>
      <c r="B630" s="768" t="s">
        <v>3801</v>
      </c>
      <c r="C630" s="768" t="s">
        <v>3285</v>
      </c>
      <c r="D630" s="768"/>
      <c r="E630" s="768"/>
      <c r="F630" s="768" t="s">
        <v>3978</v>
      </c>
      <c r="G630" s="768"/>
      <c r="H630" s="671"/>
      <c r="I630" s="768">
        <v>4.5999999999999996</v>
      </c>
      <c r="J630" s="671" t="s">
        <v>4098</v>
      </c>
      <c r="K630" s="768">
        <v>120</v>
      </c>
      <c r="L630" s="768"/>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1:76" x14ac:dyDescent="0.2">
      <c r="A631" s="671" t="s">
        <v>2997</v>
      </c>
      <c r="B631" s="768">
        <v>508</v>
      </c>
      <c r="C631" s="768" t="s">
        <v>3284</v>
      </c>
      <c r="D631" s="768"/>
      <c r="E631" s="768"/>
      <c r="F631" s="768" t="s">
        <v>3979</v>
      </c>
      <c r="G631" s="768"/>
      <c r="H631" s="671"/>
      <c r="I631" s="768">
        <v>4.7</v>
      </c>
      <c r="J631" s="671" t="s">
        <v>4098</v>
      </c>
      <c r="K631" s="768">
        <v>120</v>
      </c>
      <c r="L631" s="768"/>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1:76" x14ac:dyDescent="0.2">
      <c r="A632" s="671" t="s">
        <v>3001</v>
      </c>
      <c r="B632" s="768" t="s">
        <v>2829</v>
      </c>
      <c r="C632" s="768" t="s">
        <v>3271</v>
      </c>
      <c r="D632" s="768"/>
      <c r="E632" s="768"/>
      <c r="F632" s="768" t="s">
        <v>3980</v>
      </c>
      <c r="G632" s="768"/>
      <c r="H632" s="671"/>
      <c r="I632" s="768">
        <v>4.5999999999999996</v>
      </c>
      <c r="J632" s="671" t="s">
        <v>4098</v>
      </c>
      <c r="K632" s="768">
        <v>121</v>
      </c>
      <c r="L632" s="768"/>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1:76" x14ac:dyDescent="0.2">
      <c r="A633" s="671" t="s">
        <v>2595</v>
      </c>
      <c r="B633" s="768" t="s">
        <v>3802</v>
      </c>
      <c r="C633" s="768" t="s">
        <v>3265</v>
      </c>
      <c r="D633" s="768"/>
      <c r="E633" s="768"/>
      <c r="F633" s="768" t="s">
        <v>3981</v>
      </c>
      <c r="G633" s="768"/>
      <c r="H633" s="671"/>
      <c r="I633" s="768">
        <v>4.5999999999999996</v>
      </c>
      <c r="J633" s="671" t="s">
        <v>4098</v>
      </c>
      <c r="K633" s="768">
        <v>121</v>
      </c>
      <c r="L633" s="768"/>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1:76" x14ac:dyDescent="0.2">
      <c r="A634" s="671" t="s">
        <v>2988</v>
      </c>
      <c r="B634" s="768" t="s">
        <v>2791</v>
      </c>
      <c r="C634" s="768" t="s">
        <v>3287</v>
      </c>
      <c r="D634" s="768"/>
      <c r="E634" s="768"/>
      <c r="F634" s="768" t="s">
        <v>3982</v>
      </c>
      <c r="G634" s="768"/>
      <c r="H634" s="671"/>
      <c r="I634" s="768">
        <v>4.5999999999999996</v>
      </c>
      <c r="J634" s="671" t="s">
        <v>4098</v>
      </c>
      <c r="K634" s="768">
        <v>121</v>
      </c>
      <c r="L634" s="768"/>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1:76" x14ac:dyDescent="0.2">
      <c r="A635" s="671" t="s">
        <v>2997</v>
      </c>
      <c r="B635" s="768" t="s">
        <v>2941</v>
      </c>
      <c r="C635" s="768" t="s">
        <v>3284</v>
      </c>
      <c r="D635" s="768"/>
      <c r="E635" s="768"/>
      <c r="F635" s="768" t="s">
        <v>3983</v>
      </c>
      <c r="G635" s="768"/>
      <c r="H635" s="671"/>
      <c r="I635" s="671">
        <v>4.7</v>
      </c>
      <c r="J635" s="671" t="s">
        <v>4098</v>
      </c>
      <c r="K635" s="671">
        <v>122</v>
      </c>
      <c r="L635" s="671"/>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1:76" x14ac:dyDescent="0.2">
      <c r="A636" s="671" t="s">
        <v>2540</v>
      </c>
      <c r="B636" s="671" t="s">
        <v>2830</v>
      </c>
      <c r="C636" s="671" t="s">
        <v>2831</v>
      </c>
      <c r="D636" s="671"/>
      <c r="E636" s="671"/>
      <c r="F636" s="671" t="s">
        <v>3984</v>
      </c>
      <c r="G636" s="671"/>
      <c r="H636" s="671"/>
      <c r="I636" s="671">
        <v>4.7</v>
      </c>
      <c r="J636" s="671" t="s">
        <v>4098</v>
      </c>
      <c r="K636" s="671">
        <v>122</v>
      </c>
      <c r="L636" s="671"/>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1:76" x14ac:dyDescent="0.2">
      <c r="A637" s="671" t="s">
        <v>2539</v>
      </c>
      <c r="B637" s="671" t="s">
        <v>3081</v>
      </c>
      <c r="C637" s="671" t="s">
        <v>3808</v>
      </c>
      <c r="D637" s="671"/>
      <c r="E637" s="671"/>
      <c r="F637" s="671" t="s">
        <v>3985</v>
      </c>
      <c r="G637" s="671"/>
      <c r="H637" s="671"/>
      <c r="I637" s="671">
        <v>4.8</v>
      </c>
      <c r="J637" s="671" t="s">
        <v>4098</v>
      </c>
      <c r="K637" s="671">
        <v>125</v>
      </c>
      <c r="L637" s="671"/>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1:76" x14ac:dyDescent="0.2">
      <c r="A638" s="671" t="s">
        <v>3100</v>
      </c>
      <c r="B638" s="671" t="s">
        <v>2942</v>
      </c>
      <c r="C638" s="671" t="s">
        <v>3809</v>
      </c>
      <c r="D638" s="671"/>
      <c r="E638" s="671"/>
      <c r="F638" s="671" t="s">
        <v>3986</v>
      </c>
      <c r="G638" s="671"/>
      <c r="H638" s="671"/>
      <c r="I638" s="671">
        <v>4.8</v>
      </c>
      <c r="J638" s="671" t="s">
        <v>4098</v>
      </c>
      <c r="K638" s="768">
        <v>127</v>
      </c>
      <c r="L638" s="768"/>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1:76" x14ac:dyDescent="0.2">
      <c r="A639" s="671" t="s">
        <v>2993</v>
      </c>
      <c r="B639" s="671" t="s">
        <v>3804</v>
      </c>
      <c r="C639" s="671" t="s">
        <v>3769</v>
      </c>
      <c r="D639" s="671"/>
      <c r="E639" s="671"/>
      <c r="F639" s="671" t="s">
        <v>3987</v>
      </c>
      <c r="G639" s="671"/>
      <c r="H639" s="671"/>
      <c r="I639" s="671">
        <v>4.9000000000000004</v>
      </c>
      <c r="J639" s="671" t="s">
        <v>4098</v>
      </c>
      <c r="K639" s="768">
        <v>128</v>
      </c>
      <c r="L639" s="768"/>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1:76" x14ac:dyDescent="0.2">
      <c r="A640" s="671" t="s">
        <v>2995</v>
      </c>
      <c r="B640" s="671" t="s">
        <v>3805</v>
      </c>
      <c r="C640" s="671" t="s">
        <v>3810</v>
      </c>
      <c r="D640" s="671"/>
      <c r="E640" s="671"/>
      <c r="F640" s="671" t="s">
        <v>3988</v>
      </c>
      <c r="G640" s="671"/>
      <c r="H640" s="671"/>
      <c r="I640" s="671">
        <v>4.9000000000000004</v>
      </c>
      <c r="J640" s="671" t="s">
        <v>4098</v>
      </c>
      <c r="K640" s="768">
        <v>128</v>
      </c>
      <c r="L640" s="768"/>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1:76" x14ac:dyDescent="0.2">
      <c r="A641" s="671" t="s">
        <v>2997</v>
      </c>
      <c r="B641" s="671">
        <v>2008</v>
      </c>
      <c r="C641" s="768" t="s">
        <v>2949</v>
      </c>
      <c r="D641" s="671"/>
      <c r="E641" s="671"/>
      <c r="F641" s="671" t="s">
        <v>4042</v>
      </c>
      <c r="G641" s="768"/>
      <c r="H641" s="671"/>
      <c r="I641" s="671">
        <v>4.5</v>
      </c>
      <c r="J641" s="671" t="s">
        <v>4098</v>
      </c>
      <c r="K641" s="671">
        <v>118</v>
      </c>
      <c r="L641" s="671"/>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1:76" x14ac:dyDescent="0.2">
      <c r="A642" s="768" t="s">
        <v>2539</v>
      </c>
      <c r="B642" s="671" t="s">
        <v>3083</v>
      </c>
      <c r="C642" s="768" t="s">
        <v>3084</v>
      </c>
      <c r="D642" s="671"/>
      <c r="E642" s="671"/>
      <c r="F642" s="671" t="s">
        <v>4043</v>
      </c>
      <c r="G642" s="671"/>
      <c r="H642" s="671"/>
      <c r="I642" s="671">
        <v>4.7</v>
      </c>
      <c r="J642" s="671" t="s">
        <v>4098</v>
      </c>
      <c r="K642" s="671">
        <v>123</v>
      </c>
      <c r="L642" s="671"/>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1:76" x14ac:dyDescent="0.2">
      <c r="A643" s="768" t="s">
        <v>2989</v>
      </c>
      <c r="B643" s="671" t="s">
        <v>3223</v>
      </c>
      <c r="C643" s="768" t="s">
        <v>3279</v>
      </c>
      <c r="D643" s="671" t="s">
        <v>3139</v>
      </c>
      <c r="E643" s="671"/>
      <c r="F643" s="671" t="s">
        <v>4044</v>
      </c>
      <c r="G643" s="671"/>
      <c r="H643" s="671"/>
      <c r="I643" s="671">
        <v>4.7</v>
      </c>
      <c r="J643" s="671" t="s">
        <v>4098</v>
      </c>
      <c r="K643" s="671">
        <v>123</v>
      </c>
      <c r="L643" s="671"/>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1:76" x14ac:dyDescent="0.2">
      <c r="A644" s="768" t="s">
        <v>2992</v>
      </c>
      <c r="B644" s="671" t="s">
        <v>2798</v>
      </c>
      <c r="C644" s="768" t="s">
        <v>3270</v>
      </c>
      <c r="D644" s="671"/>
      <c r="E644" s="671"/>
      <c r="F644" s="671" t="s">
        <v>4045</v>
      </c>
      <c r="G644" s="671"/>
      <c r="H644" s="671"/>
      <c r="I644" s="671">
        <v>4.7</v>
      </c>
      <c r="J644" s="671" t="s">
        <v>4098</v>
      </c>
      <c r="K644" s="671">
        <v>123</v>
      </c>
      <c r="L644" s="671"/>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1:76" x14ac:dyDescent="0.2">
      <c r="A645" s="768" t="s">
        <v>3110</v>
      </c>
      <c r="B645" s="671" t="s">
        <v>3225</v>
      </c>
      <c r="C645" s="768" t="s">
        <v>2821</v>
      </c>
      <c r="D645" s="671"/>
      <c r="E645" s="671"/>
      <c r="F645" s="671" t="s">
        <v>4046</v>
      </c>
      <c r="G645" s="671"/>
      <c r="H645" s="671"/>
      <c r="I645" s="671">
        <v>4.8</v>
      </c>
      <c r="J645" s="671" t="s">
        <v>4098</v>
      </c>
      <c r="K645" s="671">
        <v>125</v>
      </c>
      <c r="L645" s="671"/>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1:76" x14ac:dyDescent="0.2">
      <c r="A646" s="768" t="s">
        <v>2985</v>
      </c>
      <c r="B646" s="671" t="s">
        <v>3847</v>
      </c>
      <c r="C646" s="768" t="s">
        <v>3850</v>
      </c>
      <c r="D646" s="671" t="s">
        <v>3851</v>
      </c>
      <c r="E646" s="671"/>
      <c r="F646" s="671" t="s">
        <v>4047</v>
      </c>
      <c r="G646" s="671"/>
      <c r="H646" s="671"/>
      <c r="I646" s="671">
        <v>4.8</v>
      </c>
      <c r="J646" s="671" t="s">
        <v>4098</v>
      </c>
      <c r="K646" s="671">
        <v>126</v>
      </c>
      <c r="L646" s="671"/>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1:76" x14ac:dyDescent="0.2">
      <c r="A647" s="768" t="s">
        <v>2995</v>
      </c>
      <c r="B647" s="671" t="s">
        <v>3226</v>
      </c>
      <c r="C647" s="768" t="s">
        <v>3770</v>
      </c>
      <c r="D647" s="671"/>
      <c r="E647" s="671"/>
      <c r="F647" s="671" t="s">
        <v>4048</v>
      </c>
      <c r="G647" s="671"/>
      <c r="H647" s="671"/>
      <c r="I647" s="671">
        <v>4.9000000000000004</v>
      </c>
      <c r="J647" s="671" t="s">
        <v>4098</v>
      </c>
      <c r="K647" s="671">
        <v>129</v>
      </c>
      <c r="L647" s="671"/>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1:76" x14ac:dyDescent="0.2">
      <c r="A648" s="768" t="s">
        <v>3096</v>
      </c>
      <c r="B648" s="671" t="s">
        <v>3227</v>
      </c>
      <c r="C648" s="768" t="s">
        <v>2952</v>
      </c>
      <c r="D648" s="671"/>
      <c r="E648" s="671"/>
      <c r="F648" s="671" t="s">
        <v>4049</v>
      </c>
      <c r="G648" s="671"/>
      <c r="H648" s="671"/>
      <c r="I648" s="671">
        <v>5</v>
      </c>
      <c r="J648" s="671" t="s">
        <v>4098</v>
      </c>
      <c r="K648" s="671">
        <v>129</v>
      </c>
      <c r="L648" s="671"/>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1:76" x14ac:dyDescent="0.2">
      <c r="A649" s="768" t="s">
        <v>2999</v>
      </c>
      <c r="B649" s="671" t="s">
        <v>3278</v>
      </c>
      <c r="C649" s="768" t="s">
        <v>2920</v>
      </c>
      <c r="D649" s="671"/>
      <c r="E649" s="671"/>
      <c r="F649" s="671" t="s">
        <v>4050</v>
      </c>
      <c r="G649" s="671"/>
      <c r="H649" s="671"/>
      <c r="I649" s="671">
        <v>4.9000000000000004</v>
      </c>
      <c r="J649" s="671" t="s">
        <v>4098</v>
      </c>
      <c r="K649" s="671">
        <v>129</v>
      </c>
      <c r="L649" s="671"/>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1:76" x14ac:dyDescent="0.2">
      <c r="A650" s="768" t="s">
        <v>2991</v>
      </c>
      <c r="B650" s="671" t="s">
        <v>3848</v>
      </c>
      <c r="C650" s="768" t="s">
        <v>4041</v>
      </c>
      <c r="D650" s="671"/>
      <c r="E650" s="671"/>
      <c r="F650" s="671" t="s">
        <v>4051</v>
      </c>
      <c r="G650" s="671"/>
      <c r="H650" s="671"/>
      <c r="I650" s="671">
        <v>5</v>
      </c>
      <c r="J650" s="671" t="s">
        <v>4098</v>
      </c>
      <c r="K650" s="671">
        <v>131</v>
      </c>
      <c r="L650" s="671"/>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1:76" x14ac:dyDescent="0.2">
      <c r="A651" s="768" t="s">
        <v>2540</v>
      </c>
      <c r="B651" s="671" t="s">
        <v>3849</v>
      </c>
      <c r="C651" s="768" t="s">
        <v>3853</v>
      </c>
      <c r="D651" s="671"/>
      <c r="E651" s="671"/>
      <c r="F651" s="671" t="s">
        <v>4052</v>
      </c>
      <c r="G651" s="671"/>
      <c r="H651" s="671"/>
      <c r="I651" s="671">
        <v>5.2</v>
      </c>
      <c r="J651" s="671" t="s">
        <v>4098</v>
      </c>
      <c r="K651" s="671">
        <v>136</v>
      </c>
      <c r="L651" s="671"/>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1:76" x14ac:dyDescent="0.2">
      <c r="A652" s="768" t="s">
        <v>2995</v>
      </c>
      <c r="B652" s="671" t="s">
        <v>2943</v>
      </c>
      <c r="C652" s="768" t="s">
        <v>3280</v>
      </c>
      <c r="D652" s="671"/>
      <c r="E652" s="671"/>
      <c r="F652" s="671" t="s">
        <v>4053</v>
      </c>
      <c r="G652" s="671"/>
      <c r="H652" s="671"/>
      <c r="I652" s="671">
        <v>5.4</v>
      </c>
      <c r="J652" s="671" t="s">
        <v>4098</v>
      </c>
      <c r="K652" s="671">
        <v>141</v>
      </c>
      <c r="L652" s="671"/>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1:76" x14ac:dyDescent="0.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1:76" x14ac:dyDescent="0.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1:76" x14ac:dyDescent="0.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1:76" x14ac:dyDescent="0.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1:76" x14ac:dyDescent="0.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1:76" x14ac:dyDescent="0.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1:76" x14ac:dyDescent="0.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1:76" x14ac:dyDescent="0.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1:76" x14ac:dyDescent="0.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1:76" x14ac:dyDescent="0.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1:76" x14ac:dyDescent="0.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1:76" x14ac:dyDescent="0.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1:76" x14ac:dyDescent="0.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1:76" x14ac:dyDescent="0.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1:76" x14ac:dyDescent="0.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1:76" x14ac:dyDescent="0.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1:76" x14ac:dyDescent="0.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1:76" x14ac:dyDescent="0.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sheetData>
  <sheetProtection algorithmName="SHA-512" hashValue="Ag8rXnZzAksxa0U7Tp6i2p3Xh2aIfcGyOjq/Gim/8UhkzvPysvyT8B25n2duWJjdFSg66gDYIttq47kk9WmqCg==" saltValue="Sqh1amYYdFfjPLKb/83N+Q==" spinCount="100000" sheet="1" selectLockedCells="1"/>
  <mergeCells count="7">
    <mergeCell ref="S3:T3"/>
    <mergeCell ref="S4:T4"/>
    <mergeCell ref="F3:G3"/>
    <mergeCell ref="F2:G2"/>
    <mergeCell ref="A1:C1"/>
    <mergeCell ref="A2:C2"/>
    <mergeCell ref="N3:N4"/>
  </mergeCells>
  <dataValidations count="2">
    <dataValidation type="list" allowBlank="1" showInputMessage="1" showErrorMessage="1" sqref="E6:E8 E190:E253">
      <formula1>$R$8:$R$9</formula1>
    </dataValidation>
    <dataValidation type="list" allowBlank="1" showInputMessage="1" showErrorMessage="1" sqref="U3">
      <formula1>$X$5:$X$15</formula1>
    </dataValidation>
  </dataValidations>
  <hyperlinks>
    <hyperlink ref="A2:C2" r:id="rId1" display="http://www.topprodukte.at"/>
    <hyperlink ref="L190" r:id="rId2"/>
    <hyperlink ref="L192" r:id="rId3"/>
    <hyperlink ref="L191" r:id="rId4"/>
    <hyperlink ref="L193" r:id="rId5"/>
    <hyperlink ref="L196" r:id="rId6"/>
    <hyperlink ref="L194" r:id="rId7"/>
    <hyperlink ref="L195" r:id="rId8"/>
    <hyperlink ref="L197" r:id="rId9"/>
    <hyperlink ref="L198" r:id="rId10"/>
    <hyperlink ref="L199" r:id="rId11"/>
    <hyperlink ref="L200" r:id="rId12"/>
    <hyperlink ref="L201" r:id="rId13"/>
    <hyperlink ref="L202" r:id="rId14"/>
    <hyperlink ref="L203" r:id="rId15"/>
    <hyperlink ref="L204" r:id="rId16"/>
    <hyperlink ref="L205" r:id="rId17"/>
    <hyperlink ref="L206" r:id="rId18"/>
    <hyperlink ref="L208" r:id="rId19"/>
    <hyperlink ref="L207" r:id="rId20"/>
    <hyperlink ref="L209" r:id="rId21"/>
    <hyperlink ref="L210" r:id="rId22"/>
    <hyperlink ref="L211" r:id="rId23"/>
  </hyperlinks>
  <printOptions horizontalCentered="1"/>
  <pageMargins left="0.39370078740157483" right="0.39370078740157483" top="0.59055118110236227" bottom="0.59055118110236227" header="0.51181102362204722" footer="0.51181102362204722"/>
  <pageSetup paperSize="9" scale="55" orientation="portrait" r:id="rId24"/>
  <headerFooter alignWithMargins="0"/>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indexed="22"/>
  </sheetPr>
  <dimension ref="A1:J78"/>
  <sheetViews>
    <sheetView showGridLines="0" showRowColHeaders="0" zoomScale="90" zoomScaleNormal="90" zoomScaleSheetLayoutView="106" workbookViewId="0">
      <selection activeCell="B22" sqref="B22"/>
    </sheetView>
  </sheetViews>
  <sheetFormatPr baseColWidth="10" defaultColWidth="11.375" defaultRowHeight="12.9" x14ac:dyDescent="0.2"/>
  <cols>
    <col min="1" max="1" width="0.75" style="1" customWidth="1"/>
    <col min="2" max="2" width="9.125" style="1" bestFit="1" customWidth="1"/>
    <col min="3" max="3" width="11.625" style="1" bestFit="1" customWidth="1"/>
    <col min="4" max="4" width="14.125" style="1" bestFit="1" customWidth="1"/>
    <col min="5" max="6" width="12.25" style="7" bestFit="1" customWidth="1"/>
    <col min="7" max="7" width="14.125" style="7" bestFit="1" customWidth="1"/>
    <col min="8" max="8" width="27.375" style="1" bestFit="1" customWidth="1"/>
    <col min="9" max="9" width="11" style="1" bestFit="1" customWidth="1"/>
    <col min="10" max="16384" width="11.375" style="1"/>
  </cols>
  <sheetData>
    <row r="1" spans="1:10" ht="7.5" customHeight="1" x14ac:dyDescent="0.25">
      <c r="A1" s="3"/>
      <c r="B1" s="126"/>
      <c r="C1" s="126"/>
      <c r="D1" s="126"/>
      <c r="E1" s="127"/>
      <c r="F1" s="127"/>
      <c r="G1" s="127"/>
      <c r="H1" s="126"/>
      <c r="I1" s="166"/>
    </row>
    <row r="2" spans="1:10" ht="14.3" x14ac:dyDescent="0.25">
      <c r="A2" s="3"/>
      <c r="B2" s="224" t="s">
        <v>1572</v>
      </c>
      <c r="C2" s="224" t="s">
        <v>2541</v>
      </c>
      <c r="D2" s="224" t="s">
        <v>83</v>
      </c>
      <c r="E2" s="224" t="s">
        <v>81</v>
      </c>
      <c r="F2" s="224" t="s">
        <v>82</v>
      </c>
      <c r="G2" s="224" t="s">
        <v>85</v>
      </c>
      <c r="H2" s="224" t="s">
        <v>2483</v>
      </c>
      <c r="I2" s="3"/>
      <c r="J2" s="114"/>
    </row>
    <row r="3" spans="1:10" ht="14.3" x14ac:dyDescent="0.25">
      <c r="A3" s="3"/>
      <c r="B3" s="224"/>
      <c r="C3" s="224" t="s">
        <v>1573</v>
      </c>
      <c r="D3" s="224" t="s">
        <v>1573</v>
      </c>
      <c r="E3" s="224" t="s">
        <v>1573</v>
      </c>
      <c r="F3" s="224" t="s">
        <v>1573</v>
      </c>
      <c r="G3" s="224" t="s">
        <v>1573</v>
      </c>
      <c r="H3" s="224"/>
      <c r="I3" s="3"/>
      <c r="J3" s="114"/>
    </row>
    <row r="4" spans="1:10" ht="14.3" x14ac:dyDescent="0.25">
      <c r="A4" s="3"/>
      <c r="B4" s="227">
        <v>0</v>
      </c>
      <c r="C4" s="227"/>
      <c r="D4" s="227">
        <f>Eingabe!Q33*-1</f>
        <v>4630</v>
      </c>
      <c r="E4" s="227">
        <f>C4-D4</f>
        <v>-4630</v>
      </c>
      <c r="F4" s="227">
        <f>E4/(1+(Eingabe!G$73/100))^B4</f>
        <v>-4630</v>
      </c>
      <c r="G4" s="227">
        <f>F4</f>
        <v>-4630</v>
      </c>
      <c r="H4" s="227">
        <f>IF(G4&lt;0,I4,0)</f>
        <v>1</v>
      </c>
      <c r="I4" s="83">
        <v>1</v>
      </c>
      <c r="J4" s="114"/>
    </row>
    <row r="5" spans="1:10" ht="14.3" x14ac:dyDescent="0.25">
      <c r="A5" s="3"/>
      <c r="B5" s="228">
        <v>1</v>
      </c>
      <c r="C5" s="228">
        <f>E27+Eingabe!$Q$49</f>
        <v>992.78376842105286</v>
      </c>
      <c r="D5" s="228">
        <f>Eingabe!$G$64+IF(Eingabe!$G$34=B5,Eingabe!$G$35,0)</f>
        <v>0</v>
      </c>
      <c r="E5" s="227">
        <f>(C5-D5)/(1+(Eingabe!$G$70/100))^B5</f>
        <v>978.1120871143379</v>
      </c>
      <c r="F5" s="228">
        <f>E5/(1+(Eingabe!G$73/100))^B5</f>
        <v>963.65722868407681</v>
      </c>
      <c r="G5" s="228">
        <f t="shared" ref="G5:G16" si="0">G4+F5</f>
        <v>-3666.3427713159231</v>
      </c>
      <c r="H5" s="228">
        <f>IF(G5&lt;0,I5,0)</f>
        <v>2</v>
      </c>
      <c r="I5" s="83">
        <v>2</v>
      </c>
      <c r="J5" s="114"/>
    </row>
    <row r="6" spans="1:10" ht="14.3" x14ac:dyDescent="0.25">
      <c r="A6" s="3"/>
      <c r="B6" s="228">
        <v>2</v>
      </c>
      <c r="C6" s="228">
        <f>E28+Eingabe!$Q$49</f>
        <v>1002.4918849473686</v>
      </c>
      <c r="D6" s="228">
        <f>Eingabe!$G$64+IF(Eingabe!$G$34=B6,Eingabe!$G$35,0)</f>
        <v>0</v>
      </c>
      <c r="E6" s="227">
        <f>(C6-D6)/(1+(Eingabe!$G$70/100))^B6</f>
        <v>973.08052604758075</v>
      </c>
      <c r="F6" s="228">
        <f>E6/(1+(Eingabe!G$73/100))^B6</f>
        <v>944.53204498782407</v>
      </c>
      <c r="G6" s="228">
        <f t="shared" si="0"/>
        <v>-2721.810726328099</v>
      </c>
      <c r="H6" s="228">
        <f t="shared" ref="H6:H16" si="1">IF(G6&lt;0,I6,0)</f>
        <v>3</v>
      </c>
      <c r="I6" s="83">
        <v>3</v>
      </c>
      <c r="J6" s="114"/>
    </row>
    <row r="7" spans="1:10" ht="14.3" x14ac:dyDescent="0.25">
      <c r="A7" s="3"/>
      <c r="B7" s="227">
        <v>3</v>
      </c>
      <c r="C7" s="228">
        <f>E29+Eingabe!$Q$49</f>
        <v>1012.4304464215792</v>
      </c>
      <c r="D7" s="228">
        <f>Eingabe!$G$64+IF(Eingabe!$G$34=B7,Eingabe!$G$35,0)</f>
        <v>0</v>
      </c>
      <c r="E7" s="227">
        <f>(C7-D7)/(1+(Eingabe!$G$70/100))^B7</f>
        <v>968.20444089376861</v>
      </c>
      <c r="F7" s="227">
        <f>E7/(1+(Eingabe!G$73/100))^B7</f>
        <v>925.91036024223888</v>
      </c>
      <c r="G7" s="227">
        <f t="shared" si="0"/>
        <v>-1795.9003660858602</v>
      </c>
      <c r="H7" s="227">
        <f t="shared" si="1"/>
        <v>4</v>
      </c>
      <c r="I7" s="83">
        <v>4</v>
      </c>
      <c r="J7" s="114"/>
    </row>
    <row r="8" spans="1:10" ht="14.3" x14ac:dyDescent="0.25">
      <c r="A8" s="3"/>
      <c r="B8" s="228">
        <v>4</v>
      </c>
      <c r="C8" s="228">
        <f>E30+Eingabe!$Q$49</f>
        <v>1022.604605981903</v>
      </c>
      <c r="D8" s="228">
        <f>Eingabe!$G$64+IF(Eingabe!$G$34=B8,Eingabe!$G$35,0)</f>
        <v>0</v>
      </c>
      <c r="E8" s="227">
        <f>(C8-D8)/(1+(Eingabe!$G$70/100))^B8</f>
        <v>963.48193357471837</v>
      </c>
      <c r="F8" s="228">
        <f>E8/(1+(Eingabe!G$73/100))^B8</f>
        <v>907.77748398026097</v>
      </c>
      <c r="G8" s="228">
        <f t="shared" si="0"/>
        <v>-888.12288210559927</v>
      </c>
      <c r="H8" s="228">
        <f t="shared" si="1"/>
        <v>5</v>
      </c>
      <c r="I8" s="83">
        <v>5</v>
      </c>
      <c r="J8" s="114"/>
    </row>
    <row r="9" spans="1:10" ht="14.3" x14ac:dyDescent="0.25">
      <c r="A9" s="3"/>
      <c r="B9" s="228">
        <v>5</v>
      </c>
      <c r="C9" s="228">
        <f>E31+Eingabe!$Q$49</f>
        <v>1033.0196279929116</v>
      </c>
      <c r="D9" s="228">
        <f>Eingabe!$G$64+IF(Eingabe!$G$34=B9,Eingabe!$G$35,0)</f>
        <v>0</v>
      </c>
      <c r="E9" s="227">
        <f>(C9-D9)/(1+(Eingabe!$G$70/100))^B9</f>
        <v>958.9111360311133</v>
      </c>
      <c r="F9" s="228">
        <f>E9/(1+(Eingabe!G$73/100))^B9</f>
        <v>890.11916316733311</v>
      </c>
      <c r="G9" s="228">
        <f t="shared" si="0"/>
        <v>1.9962810617338391</v>
      </c>
      <c r="H9" s="228">
        <f t="shared" si="1"/>
        <v>0</v>
      </c>
      <c r="I9" s="83">
        <v>6</v>
      </c>
      <c r="J9" s="114"/>
    </row>
    <row r="10" spans="1:10" ht="14.3" x14ac:dyDescent="0.25">
      <c r="A10" s="3"/>
      <c r="B10" s="227">
        <v>6</v>
      </c>
      <c r="C10" s="228">
        <f>E32+Eingabe!$Q$49</f>
        <v>1043.6808903925109</v>
      </c>
      <c r="D10" s="228">
        <f>Eingabe!$G$64+IF(Eingabe!$G$34=B10,Eingabe!$G$35,0)</f>
        <v>0</v>
      </c>
      <c r="E10" s="227">
        <f>(C10-D10)/(1+(Eingabe!$G$70/100))^B10</f>
        <v>954.49020978857186</v>
      </c>
      <c r="F10" s="227">
        <f>E10/(1+(Eingabe!G$73/100))^B10</f>
        <v>872.92156919688421</v>
      </c>
      <c r="G10" s="227">
        <f t="shared" si="0"/>
        <v>874.91785025861805</v>
      </c>
      <c r="H10" s="227">
        <f t="shared" si="1"/>
        <v>0</v>
      </c>
      <c r="I10" s="83">
        <v>7</v>
      </c>
      <c r="J10" s="114"/>
    </row>
    <row r="11" spans="1:10" ht="14.3" x14ac:dyDescent="0.25">
      <c r="A11" s="3"/>
      <c r="B11" s="228">
        <v>7</v>
      </c>
      <c r="C11" s="228">
        <f>E33+Eingabe!$Q$49</f>
        <v>1054.5938870876982</v>
      </c>
      <c r="D11" s="228">
        <f>Eingabe!$G$64+IF(Eingabe!$G$34=B11,Eingabe!$G$35,0)</f>
        <v>0</v>
      </c>
      <c r="E11" s="227">
        <f>(C11-D11)/(1+(Eingabe!$G$70/100))^B11</f>
        <v>950.21734553017632</v>
      </c>
      <c r="F11" s="228">
        <f>E11/(1+(Eingabe!G$73/100))^B11</f>
        <v>856.17128527062073</v>
      </c>
      <c r="G11" s="228">
        <f t="shared" si="0"/>
        <v>1731.0891355292388</v>
      </c>
      <c r="H11" s="228">
        <f t="shared" si="1"/>
        <v>0</v>
      </c>
      <c r="I11" s="83">
        <v>8</v>
      </c>
      <c r="J11" s="114"/>
    </row>
    <row r="12" spans="1:10" ht="14.3" x14ac:dyDescent="0.25">
      <c r="A12" s="3"/>
      <c r="B12" s="228">
        <v>8</v>
      </c>
      <c r="C12" s="228">
        <f>E34+Eingabe!$Q$49</f>
        <v>1065.7642304000997</v>
      </c>
      <c r="D12" s="228">
        <f>Eingabe!$G$64+IF(Eingabe!$G$34=B12,Eingabe!$G$35,0)</f>
        <v>0</v>
      </c>
      <c r="E12" s="227">
        <f>(C12-D12)/(1+(Eingabe!$G$70/100))^B12</f>
        <v>946.09076267536705</v>
      </c>
      <c r="F12" s="228">
        <f>E12/(1+(Eingabe!G$73/100))^B12</f>
        <v>839.85529415228336</v>
      </c>
      <c r="G12" s="228">
        <f t="shared" si="0"/>
        <v>2570.9444296815223</v>
      </c>
      <c r="H12" s="228">
        <f t="shared" si="1"/>
        <v>0</v>
      </c>
      <c r="I12" s="83">
        <v>9</v>
      </c>
      <c r="J12" s="114"/>
    </row>
    <row r="13" spans="1:10" ht="14.3" x14ac:dyDescent="0.25">
      <c r="A13" s="3"/>
      <c r="B13" s="227">
        <v>9</v>
      </c>
      <c r="C13" s="228">
        <f>E35+Eingabe!$Q$49</f>
        <v>1077.1976535623085</v>
      </c>
      <c r="D13" s="228">
        <f>Eingabe!$G$64+IF(Eingabe!$G$34=B13,Eingabe!$G$35,0)</f>
        <v>2000</v>
      </c>
      <c r="E13" s="227">
        <f>(C13-D13)/(1+(Eingabe!$G$70/100))^B13</f>
        <v>-807.07577143092749</v>
      </c>
      <c r="F13" s="227">
        <f>E13/(1+(Eingabe!G$73/100))^B13</f>
        <v>-705.86220694531789</v>
      </c>
      <c r="G13" s="227">
        <f t="shared" si="0"/>
        <v>1865.0822227362044</v>
      </c>
      <c r="H13" s="227">
        <f t="shared" si="1"/>
        <v>0</v>
      </c>
      <c r="I13" s="83">
        <v>10</v>
      </c>
      <c r="J13" s="114"/>
    </row>
    <row r="14" spans="1:10" ht="14.3" x14ac:dyDescent="0.25">
      <c r="A14" s="3"/>
      <c r="B14" s="228">
        <v>10</v>
      </c>
      <c r="C14" s="228">
        <f>E36+Eingabe!$Q$49</f>
        <v>1088.9000132660749</v>
      </c>
      <c r="D14" s="228">
        <f>Eingabe!$G$64+IF(Eingabe!$G$34=B14,Eingabe!$G$35,0)</f>
        <v>0</v>
      </c>
      <c r="E14" s="227">
        <f>(C14-D14)/(1+(Eingabe!$G$70/100))^B14</f>
        <v>938.26946005322884</v>
      </c>
      <c r="F14" s="228">
        <f>E14/(1+(Eingabe!G$73/100))^B14</f>
        <v>808.4760482535346</v>
      </c>
      <c r="G14" s="228">
        <f t="shared" si="0"/>
        <v>2673.558270989739</v>
      </c>
      <c r="H14" s="228">
        <f t="shared" si="1"/>
        <v>0</v>
      </c>
      <c r="I14" s="83">
        <v>11</v>
      </c>
      <c r="J14" s="114"/>
    </row>
    <row r="15" spans="1:10" ht="14.3" x14ac:dyDescent="0.25">
      <c r="A15" s="3"/>
      <c r="B15" s="228">
        <v>11</v>
      </c>
      <c r="C15" s="228">
        <f>E37+Eingabe!$Q$49</f>
        <v>1100.8772922634039</v>
      </c>
      <c r="D15" s="228">
        <f>Eingabe!$G$64+IF(Eingabe!$G$34=B15,Eingabe!$G$35,0)</f>
        <v>0</v>
      </c>
      <c r="E15" s="227">
        <f>(C15-D15)/(1+(Eingabe!$G$70/100))^B15</f>
        <v>934.57131910386374</v>
      </c>
      <c r="F15" s="228">
        <f>E15/(1+(Eingabe!G$73/100))^B15</f>
        <v>793.38865160510034</v>
      </c>
      <c r="G15" s="228">
        <f t="shared" si="0"/>
        <v>3466.9469225948392</v>
      </c>
      <c r="H15" s="228">
        <f t="shared" si="1"/>
        <v>0</v>
      </c>
      <c r="I15" s="83">
        <v>12</v>
      </c>
      <c r="J15" s="114"/>
    </row>
    <row r="16" spans="1:10" ht="14.3" x14ac:dyDescent="0.25">
      <c r="A16" s="3"/>
      <c r="B16" s="227">
        <v>12</v>
      </c>
      <c r="C16" s="228">
        <f>E38+Eingabe!$Q$49</f>
        <v>1113.1356020216604</v>
      </c>
      <c r="D16" s="228">
        <f>Eingabe!$G$64+IF(Eingabe!$G$34=B16,Eingabe!$G$35,0)</f>
        <v>0</v>
      </c>
      <c r="E16" s="227">
        <f>(C16-D16)/(1+(Eingabe!$G$70/100))^B16</f>
        <v>931.01261639487666</v>
      </c>
      <c r="F16" s="227">
        <f>E16/(1+(Eingabe!G$73/100))^B16</f>
        <v>778.68724197859865</v>
      </c>
      <c r="G16" s="227">
        <f t="shared" si="0"/>
        <v>4245.6341645734374</v>
      </c>
      <c r="H16" s="227">
        <f t="shared" si="1"/>
        <v>0</v>
      </c>
      <c r="I16" s="83">
        <v>13</v>
      </c>
      <c r="J16" s="114"/>
    </row>
    <row r="17" spans="1:10" ht="14.3" x14ac:dyDescent="0.25">
      <c r="A17" s="3"/>
      <c r="B17" s="223" t="s">
        <v>80</v>
      </c>
      <c r="C17" s="226">
        <f>SUM(C5:C16)</f>
        <v>12607.479902758572</v>
      </c>
      <c r="D17" s="226">
        <f>SUM(D4:D16)</f>
        <v>6630</v>
      </c>
      <c r="E17" s="226">
        <f>SUM(E4:E16)</f>
        <v>5059.3660657766759</v>
      </c>
      <c r="F17" s="226">
        <f>SUM(F4:F16)</f>
        <v>4245.6341645734374</v>
      </c>
      <c r="G17" s="226"/>
      <c r="H17" s="226">
        <f>IF(MAX(H4:H16)&gt;12,"&gt;12",MAX(H4:H16))</f>
        <v>5</v>
      </c>
      <c r="I17" s="3"/>
      <c r="J17" s="114"/>
    </row>
    <row r="18" spans="1:10" ht="14.3" x14ac:dyDescent="0.25">
      <c r="A18" s="3"/>
      <c r="B18" s="126"/>
      <c r="C18" s="126"/>
      <c r="D18" s="126"/>
      <c r="E18" s="127"/>
      <c r="F18" s="225"/>
      <c r="G18" s="127"/>
      <c r="H18" s="126"/>
      <c r="I18" s="126"/>
    </row>
    <row r="19" spans="1:10" ht="13.6" x14ac:dyDescent="0.25">
      <c r="A19" s="3"/>
      <c r="B19" s="126"/>
      <c r="C19" s="126"/>
      <c r="D19" s="126"/>
      <c r="E19" s="206"/>
      <c r="F19" s="126"/>
      <c r="G19" s="126"/>
      <c r="H19" s="126"/>
      <c r="I19" s="168"/>
    </row>
    <row r="20" spans="1:10" ht="13.6" x14ac:dyDescent="0.25">
      <c r="A20" s="3"/>
      <c r="B20" s="169"/>
      <c r="C20" s="126"/>
      <c r="D20" s="126"/>
      <c r="F20" s="127"/>
      <c r="G20" s="126"/>
      <c r="H20" s="167" t="s">
        <v>2813</v>
      </c>
      <c r="I20" s="171">
        <f>NPV(Eingabe!G$73/100,Berechnungen!E5:E16)+E4</f>
        <v>4245.6341645734374</v>
      </c>
    </row>
    <row r="21" spans="1:10" ht="13.6" x14ac:dyDescent="0.25">
      <c r="A21" s="3"/>
      <c r="B21" s="169"/>
      <c r="C21" s="169"/>
      <c r="D21" s="169"/>
      <c r="E21" s="127"/>
      <c r="F21" s="127"/>
      <c r="G21" s="127"/>
      <c r="H21" s="203" t="s">
        <v>2494</v>
      </c>
      <c r="I21" s="204">
        <f>IRR(F4:F16)</f>
        <v>0.13725997248017086</v>
      </c>
      <c r="J21" s="591"/>
    </row>
    <row r="22" spans="1:10" ht="13.6" x14ac:dyDescent="0.25">
      <c r="A22" s="3"/>
      <c r="B22" s="169"/>
      <c r="C22" s="169"/>
      <c r="D22" s="169"/>
      <c r="E22" s="127"/>
      <c r="F22" s="127"/>
      <c r="G22" s="127"/>
      <c r="H22" s="126"/>
    </row>
    <row r="23" spans="1:10" ht="13.6" x14ac:dyDescent="0.25">
      <c r="A23" s="3"/>
      <c r="B23" s="126"/>
      <c r="C23" s="170"/>
      <c r="D23" s="126"/>
      <c r="E23" s="127"/>
      <c r="F23" s="127"/>
      <c r="G23" s="127"/>
      <c r="H23" s="126"/>
      <c r="I23" s="126"/>
    </row>
    <row r="24" spans="1:10" ht="14.3" x14ac:dyDescent="0.25">
      <c r="A24" s="3"/>
      <c r="B24" s="735" t="s">
        <v>2804</v>
      </c>
      <c r="C24" s="736"/>
      <c r="D24" s="736"/>
      <c r="E24" s="736"/>
      <c r="F24" s="736"/>
      <c r="G24" s="736"/>
      <c r="H24" s="126"/>
      <c r="I24" s="126"/>
    </row>
    <row r="25" spans="1:10" ht="14.3" x14ac:dyDescent="0.25">
      <c r="A25" s="3"/>
      <c r="B25" s="224" t="s">
        <v>1572</v>
      </c>
      <c r="C25" s="224" t="s">
        <v>2806</v>
      </c>
      <c r="D25" s="224" t="s">
        <v>2805</v>
      </c>
      <c r="E25" s="224" t="s">
        <v>2807</v>
      </c>
      <c r="F25" s="224" t="s">
        <v>2806</v>
      </c>
      <c r="G25" s="224" t="s">
        <v>2805</v>
      </c>
      <c r="H25" s="126"/>
      <c r="I25" s="126"/>
    </row>
    <row r="26" spans="1:10" ht="14.3" x14ac:dyDescent="0.25">
      <c r="A26" s="3"/>
      <c r="B26" s="224"/>
      <c r="C26" s="224" t="s">
        <v>1573</v>
      </c>
      <c r="D26" s="224" t="s">
        <v>1573</v>
      </c>
      <c r="E26" s="224" t="s">
        <v>1573</v>
      </c>
      <c r="F26" s="224" t="s">
        <v>1573</v>
      </c>
      <c r="G26" s="224" t="s">
        <v>1573</v>
      </c>
      <c r="H26" s="126"/>
      <c r="I26" s="126"/>
    </row>
    <row r="27" spans="1:10" ht="14.3" x14ac:dyDescent="0.25">
      <c r="A27" s="3"/>
      <c r="B27" s="227">
        <v>1</v>
      </c>
      <c r="C27" s="364">
        <f>Eingabe!$G$61*(1+(Eingabe!G$71/100))^B27</f>
        <v>483.76823157894734</v>
      </c>
      <c r="D27" s="364">
        <f>Eingabe!$M$61*(1+(Eingabe!G$72/100))^B27</f>
        <v>848.2320000000002</v>
      </c>
      <c r="E27" s="364">
        <f>D27-C27</f>
        <v>364.46376842105286</v>
      </c>
      <c r="F27" s="410">
        <f>C27/$C$27</f>
        <v>1</v>
      </c>
      <c r="G27" s="410">
        <f>D27/$D$27</f>
        <v>1</v>
      </c>
      <c r="H27" s="126"/>
      <c r="I27" s="126"/>
    </row>
    <row r="28" spans="1:10" ht="14.3" x14ac:dyDescent="0.25">
      <c r="A28" s="3"/>
      <c r="B28" s="227">
        <v>2</v>
      </c>
      <c r="C28" s="364">
        <f>Eingabe!$G$61*(1+(Eingabe!G$71/100))^B28</f>
        <v>491.02475505263146</v>
      </c>
      <c r="D28" s="364">
        <f>Eingabe!$M$61*(1+(Eingabe!G$72/100))^B28</f>
        <v>865.19664000000012</v>
      </c>
      <c r="E28" s="364">
        <f t="shared" ref="E28:E38" si="2">D28-C28</f>
        <v>374.17188494736865</v>
      </c>
      <c r="F28" s="410">
        <f t="shared" ref="F28:F38" si="3">C28/$C$27</f>
        <v>1.0149999999999999</v>
      </c>
      <c r="G28" s="410">
        <f t="shared" ref="G28:G38" si="4">D28/$D$27</f>
        <v>1.0199999999999998</v>
      </c>
      <c r="H28" s="126"/>
      <c r="I28" s="126"/>
    </row>
    <row r="29" spans="1:10" ht="14.3" x14ac:dyDescent="0.25">
      <c r="A29" s="3"/>
      <c r="B29" s="227">
        <v>3</v>
      </c>
      <c r="C29" s="364">
        <f>Eingabe!$G$61*(1+(Eingabe!G$71/100))^B29</f>
        <v>498.39012637842086</v>
      </c>
      <c r="D29" s="364">
        <f>Eingabe!$M$61*(1+(Eingabe!G$72/100))^B29</f>
        <v>882.5005728000001</v>
      </c>
      <c r="E29" s="364">
        <f t="shared" si="2"/>
        <v>384.11044642157924</v>
      </c>
      <c r="F29" s="410">
        <f t="shared" si="3"/>
        <v>1.0302249999999997</v>
      </c>
      <c r="G29" s="410">
        <f t="shared" si="4"/>
        <v>1.0403999999999998</v>
      </c>
      <c r="H29" s="3"/>
      <c r="I29" s="3"/>
    </row>
    <row r="30" spans="1:10" ht="14.3" x14ac:dyDescent="0.25">
      <c r="A30" s="3"/>
      <c r="B30" s="227">
        <v>4</v>
      </c>
      <c r="C30" s="364">
        <f>Eingabe!$G$61*(1+(Eingabe!G$71/100))^B30</f>
        <v>505.86597827409713</v>
      </c>
      <c r="D30" s="364">
        <f>Eingabe!$M$61*(1+(Eingabe!G$72/100))^B30</f>
        <v>900.15058425600012</v>
      </c>
      <c r="E30" s="364">
        <f t="shared" si="2"/>
        <v>394.28460598190298</v>
      </c>
      <c r="F30" s="410">
        <f t="shared" si="3"/>
        <v>1.0456783749999996</v>
      </c>
      <c r="G30" s="410">
        <f t="shared" si="4"/>
        <v>1.0612079999999999</v>
      </c>
      <c r="H30" s="114"/>
      <c r="I30" s="114"/>
    </row>
    <row r="31" spans="1:10" ht="14.3" x14ac:dyDescent="0.25">
      <c r="A31" s="3"/>
      <c r="B31" s="227">
        <v>5</v>
      </c>
      <c r="C31" s="364">
        <f>Eingabe!$G$61*(1+(Eingabe!G$71/100))^B31</f>
        <v>513.45396794820851</v>
      </c>
      <c r="D31" s="364">
        <f>Eingabe!$M$61*(1+(Eingabe!G$72/100))^B31</f>
        <v>918.15359594112022</v>
      </c>
      <c r="E31" s="364">
        <f t="shared" si="2"/>
        <v>404.6996279929117</v>
      </c>
      <c r="F31" s="410">
        <f t="shared" si="3"/>
        <v>1.0613635506249994</v>
      </c>
      <c r="G31" s="410">
        <f t="shared" si="4"/>
        <v>1.08243216</v>
      </c>
      <c r="H31" s="114"/>
      <c r="I31" s="114"/>
    </row>
    <row r="32" spans="1:10" ht="14.3" x14ac:dyDescent="0.25">
      <c r="A32" s="3"/>
      <c r="B32" s="227">
        <v>6</v>
      </c>
      <c r="C32" s="364">
        <f>Eingabe!$G$61*(1+(Eingabe!G$71/100))^B32</f>
        <v>521.15577746743156</v>
      </c>
      <c r="D32" s="364">
        <f>Eingabe!$M$61*(1+(Eingabe!G$72/100))^B32</f>
        <v>936.51666785994257</v>
      </c>
      <c r="E32" s="364">
        <f t="shared" si="2"/>
        <v>415.36089039251101</v>
      </c>
      <c r="F32" s="410">
        <f t="shared" si="3"/>
        <v>1.0772840038843743</v>
      </c>
      <c r="G32" s="410">
        <f t="shared" si="4"/>
        <v>1.1040808032</v>
      </c>
      <c r="H32" s="114"/>
      <c r="I32" s="131"/>
    </row>
    <row r="33" spans="1:9" ht="14.3" x14ac:dyDescent="0.25">
      <c r="A33" s="3"/>
      <c r="B33" s="227">
        <v>7</v>
      </c>
      <c r="C33" s="364">
        <f>Eingabe!$G$61*(1+(Eingabe!G$71/100))^B33</f>
        <v>528.97311412944293</v>
      </c>
      <c r="D33" s="364">
        <f>Eingabe!$M$61*(1+(Eingabe!G$72/100))^B33</f>
        <v>955.24700121714125</v>
      </c>
      <c r="E33" s="364">
        <f t="shared" si="2"/>
        <v>426.27388708769831</v>
      </c>
      <c r="F33" s="410">
        <f t="shared" si="3"/>
        <v>1.0934432639426397</v>
      </c>
      <c r="G33" s="410">
        <f t="shared" si="4"/>
        <v>1.1261624192639996</v>
      </c>
      <c r="H33" s="114"/>
      <c r="I33" s="131"/>
    </row>
    <row r="34" spans="1:9" ht="14.3" x14ac:dyDescent="0.25">
      <c r="A34" s="3"/>
      <c r="B34" s="227">
        <v>8</v>
      </c>
      <c r="C34" s="364">
        <f>Eingabe!$G$61*(1+(Eingabe!G$71/100))^B34</f>
        <v>536.90771084138453</v>
      </c>
      <c r="D34" s="364">
        <f>Eingabe!$M$61*(1+(Eingabe!G$72/100))^B34</f>
        <v>974.35194124148416</v>
      </c>
      <c r="E34" s="364">
        <f t="shared" si="2"/>
        <v>437.44423040009963</v>
      </c>
      <c r="F34" s="410">
        <f t="shared" si="3"/>
        <v>1.1098449129017791</v>
      </c>
      <c r="G34" s="410">
        <f t="shared" si="4"/>
        <v>1.1486856676492798</v>
      </c>
      <c r="H34" s="114"/>
      <c r="I34" s="131"/>
    </row>
    <row r="35" spans="1:9" ht="14.3" x14ac:dyDescent="0.25">
      <c r="A35" s="3"/>
      <c r="B35" s="227">
        <v>9</v>
      </c>
      <c r="C35" s="364">
        <f>Eingabe!$G$61*(1+(Eingabe!G$71/100))^B35</f>
        <v>544.96132650400523</v>
      </c>
      <c r="D35" s="364">
        <f>Eingabe!$M$61*(1+(Eingabe!G$72/100))^B35</f>
        <v>993.83898006631387</v>
      </c>
      <c r="E35" s="364">
        <f t="shared" si="2"/>
        <v>448.87765356230864</v>
      </c>
      <c r="F35" s="410">
        <f t="shared" si="3"/>
        <v>1.1264925865953057</v>
      </c>
      <c r="G35" s="410">
        <f t="shared" si="4"/>
        <v>1.1716593810022655</v>
      </c>
      <c r="H35" s="114"/>
      <c r="I35" s="131"/>
    </row>
    <row r="36" spans="1:9" ht="14.3" x14ac:dyDescent="0.25">
      <c r="A36" s="3"/>
      <c r="B36" s="227">
        <v>10</v>
      </c>
      <c r="C36" s="364">
        <f>Eingabe!$G$61*(1+(Eingabe!G$71/100))^B36</f>
        <v>553.13574640156526</v>
      </c>
      <c r="D36" s="364">
        <f>Eingabe!$M$61*(1+(Eingabe!G$72/100))^B36</f>
        <v>1013.7157596676402</v>
      </c>
      <c r="E36" s="364">
        <f t="shared" si="2"/>
        <v>460.58001326607496</v>
      </c>
      <c r="F36" s="410">
        <f t="shared" si="3"/>
        <v>1.1433899753942351</v>
      </c>
      <c r="G36" s="410">
        <f t="shared" si="4"/>
        <v>1.1950925686223108</v>
      </c>
      <c r="H36" s="114"/>
      <c r="I36" s="131"/>
    </row>
    <row r="37" spans="1:9" ht="14.3" x14ac:dyDescent="0.25">
      <c r="A37" s="3"/>
      <c r="B37" s="227">
        <v>11</v>
      </c>
      <c r="C37" s="364">
        <f>Eingabe!$G$61*(1+(Eingabe!G$71/100))^B37</f>
        <v>561.4327825975887</v>
      </c>
      <c r="D37" s="364">
        <f>Eingabe!$M$61*(1+(Eingabe!G$72/100))^B37</f>
        <v>1033.9900748609928</v>
      </c>
      <c r="E37" s="364">
        <f t="shared" si="2"/>
        <v>472.55729226340407</v>
      </c>
      <c r="F37" s="410">
        <f t="shared" si="3"/>
        <v>1.1605408250251485</v>
      </c>
      <c r="G37" s="410">
        <f t="shared" si="4"/>
        <v>1.2189944199947567</v>
      </c>
      <c r="H37" s="114"/>
      <c r="I37" s="131"/>
    </row>
    <row r="38" spans="1:9" ht="14.3" x14ac:dyDescent="0.25">
      <c r="A38" s="3"/>
      <c r="B38" s="227">
        <v>12</v>
      </c>
      <c r="C38" s="364">
        <f>Eingabe!$G$61*(1+(Eingabe!G$71/100))^B38</f>
        <v>569.85427433655229</v>
      </c>
      <c r="D38" s="364">
        <f>Eingabe!$M$61*(1+(Eingabe!G$72/100))^B38</f>
        <v>1054.6698763582128</v>
      </c>
      <c r="E38" s="364">
        <f t="shared" si="2"/>
        <v>484.81560202166054</v>
      </c>
      <c r="F38" s="410">
        <f t="shared" si="3"/>
        <v>1.1779489374005254</v>
      </c>
      <c r="G38" s="410">
        <f t="shared" si="4"/>
        <v>1.2433743083946522</v>
      </c>
      <c r="H38" s="114"/>
      <c r="I38" s="131"/>
    </row>
    <row r="39" spans="1:9" ht="13.6" x14ac:dyDescent="0.25">
      <c r="A39" s="3"/>
      <c r="B39" s="363"/>
      <c r="C39" s="114"/>
      <c r="D39" s="114"/>
      <c r="E39" s="117"/>
      <c r="F39" s="135"/>
      <c r="G39" s="117"/>
      <c r="H39" s="114"/>
      <c r="I39" s="131"/>
    </row>
    <row r="40" spans="1:9" ht="13.6" x14ac:dyDescent="0.25">
      <c r="A40" s="3"/>
      <c r="B40" s="114"/>
      <c r="C40" s="114"/>
      <c r="D40" s="114"/>
      <c r="E40" s="117"/>
      <c r="F40" s="135"/>
      <c r="G40" s="117"/>
      <c r="H40" s="114"/>
      <c r="I40" s="131"/>
    </row>
    <row r="41" spans="1:9" ht="13.6" x14ac:dyDescent="0.25">
      <c r="A41" s="3"/>
      <c r="B41" s="114"/>
      <c r="C41" s="114"/>
      <c r="D41" s="114"/>
      <c r="E41" s="117"/>
      <c r="F41" s="135"/>
      <c r="G41" s="117"/>
      <c r="H41" s="114"/>
      <c r="I41" s="131"/>
    </row>
    <row r="42" spans="1:9" x14ac:dyDescent="0.2">
      <c r="A42" s="3"/>
      <c r="B42" s="114"/>
      <c r="C42" s="114"/>
      <c r="D42" s="114"/>
      <c r="E42" s="117"/>
      <c r="F42" s="117"/>
      <c r="G42" s="117"/>
      <c r="H42" s="114"/>
      <c r="I42" s="114"/>
    </row>
    <row r="43" spans="1:9" x14ac:dyDescent="0.2">
      <c r="A43" s="3"/>
      <c r="B43" s="114"/>
      <c r="C43" s="114"/>
      <c r="D43" s="114"/>
      <c r="E43" s="117"/>
      <c r="F43" s="117"/>
      <c r="G43" s="117"/>
      <c r="H43" s="114"/>
      <c r="I43" s="114"/>
    </row>
    <row r="44" spans="1:9" ht="13.6" x14ac:dyDescent="0.25">
      <c r="A44" s="3"/>
      <c r="B44" s="133"/>
      <c r="C44" s="114"/>
      <c r="D44" s="114"/>
      <c r="E44" s="117"/>
      <c r="F44" s="117"/>
      <c r="G44" s="117"/>
      <c r="H44" s="114"/>
      <c r="I44" s="114"/>
    </row>
    <row r="45" spans="1:9" s="3" customFormat="1" ht="13.6" x14ac:dyDescent="0.25">
      <c r="B45" s="131"/>
      <c r="C45" s="114"/>
      <c r="D45" s="114"/>
      <c r="E45" s="134"/>
      <c r="F45" s="117"/>
      <c r="G45" s="117"/>
      <c r="H45" s="114"/>
      <c r="I45" s="114"/>
    </row>
    <row r="46" spans="1:9" s="3" customFormat="1" ht="13.6" x14ac:dyDescent="0.25">
      <c r="B46" s="131"/>
      <c r="C46" s="131"/>
      <c r="D46" s="131"/>
      <c r="E46" s="132"/>
      <c r="F46" s="117"/>
      <c r="G46" s="117"/>
      <c r="H46" s="114"/>
      <c r="I46" s="114"/>
    </row>
    <row r="47" spans="1:9" s="3" customFormat="1" ht="13.6" x14ac:dyDescent="0.25">
      <c r="B47" s="131"/>
      <c r="C47" s="132"/>
      <c r="D47" s="132"/>
      <c r="E47" s="132"/>
      <c r="F47" s="117"/>
      <c r="G47" s="117"/>
      <c r="H47" s="114"/>
      <c r="I47" s="114"/>
    </row>
    <row r="48" spans="1:9" s="3" customFormat="1" ht="13.6" x14ac:dyDescent="0.25">
      <c r="B48" s="131"/>
      <c r="C48" s="132"/>
      <c r="D48" s="132"/>
      <c r="E48" s="132"/>
      <c r="F48" s="117"/>
      <c r="G48" s="114"/>
      <c r="H48" s="114"/>
      <c r="I48" s="114"/>
    </row>
    <row r="49" spans="2:9" s="3" customFormat="1" ht="13.6" x14ac:dyDescent="0.25">
      <c r="B49" s="131"/>
      <c r="C49" s="132"/>
      <c r="D49" s="132"/>
      <c r="E49" s="132"/>
      <c r="F49" s="117"/>
      <c r="G49" s="114"/>
      <c r="H49" s="114"/>
      <c r="I49" s="114"/>
    </row>
    <row r="50" spans="2:9" s="3" customFormat="1" ht="13.6" x14ac:dyDescent="0.25">
      <c r="B50" s="131"/>
      <c r="C50" s="132"/>
      <c r="D50" s="132"/>
      <c r="E50" s="132"/>
      <c r="F50" s="134"/>
      <c r="G50" s="131"/>
      <c r="H50" s="131"/>
      <c r="I50" s="114"/>
    </row>
    <row r="51" spans="2:9" s="3" customFormat="1" ht="13.6" x14ac:dyDescent="0.25">
      <c r="B51" s="131"/>
      <c r="C51" s="132"/>
      <c r="D51" s="132"/>
      <c r="E51" s="132"/>
      <c r="F51" s="132"/>
      <c r="G51" s="132"/>
      <c r="H51" s="132"/>
      <c r="I51" s="114"/>
    </row>
    <row r="52" spans="2:9" s="3" customFormat="1" ht="13.6" x14ac:dyDescent="0.25">
      <c r="B52" s="131"/>
      <c r="C52" s="132"/>
      <c r="D52" s="132"/>
      <c r="E52" s="132"/>
      <c r="F52" s="132"/>
      <c r="G52" s="132"/>
      <c r="H52" s="132"/>
      <c r="I52" s="114"/>
    </row>
    <row r="53" spans="2:9" s="3" customFormat="1" ht="13.6" x14ac:dyDescent="0.25">
      <c r="B53" s="131"/>
      <c r="C53" s="132"/>
      <c r="D53" s="132"/>
      <c r="E53" s="132"/>
      <c r="F53" s="132"/>
      <c r="G53" s="132"/>
      <c r="H53" s="132"/>
      <c r="I53" s="114"/>
    </row>
    <row r="54" spans="2:9" s="3" customFormat="1" ht="13.6" x14ac:dyDescent="0.25">
      <c r="B54" s="131"/>
      <c r="C54" s="132"/>
      <c r="D54" s="132"/>
      <c r="E54" s="132"/>
      <c r="F54" s="132"/>
      <c r="G54" s="132"/>
      <c r="H54" s="132"/>
      <c r="I54" s="114"/>
    </row>
    <row r="55" spans="2:9" s="3" customFormat="1" ht="13.6" x14ac:dyDescent="0.25">
      <c r="B55" s="131"/>
      <c r="C55" s="132"/>
      <c r="D55" s="132"/>
      <c r="E55" s="132" t="s">
        <v>3376</v>
      </c>
      <c r="F55" s="132"/>
      <c r="G55" s="132"/>
      <c r="H55" s="132"/>
      <c r="I55" s="114"/>
    </row>
    <row r="56" spans="2:9" s="3" customFormat="1" ht="13.6" x14ac:dyDescent="0.25">
      <c r="B56" s="131"/>
      <c r="C56" s="132"/>
      <c r="D56" s="132"/>
      <c r="E56" s="132"/>
      <c r="F56" s="132"/>
      <c r="G56" s="132"/>
      <c r="H56" s="132"/>
      <c r="I56" s="114"/>
    </row>
    <row r="57" spans="2:9" s="3" customFormat="1" ht="13.6" x14ac:dyDescent="0.25">
      <c r="B57" s="131"/>
      <c r="C57" s="132"/>
      <c r="D57" s="132"/>
      <c r="E57" s="132"/>
      <c r="F57" s="132"/>
      <c r="G57" s="132"/>
      <c r="H57" s="132"/>
      <c r="I57" s="114"/>
    </row>
    <row r="58" spans="2:9" s="3" customFormat="1" ht="13.6" x14ac:dyDescent="0.25">
      <c r="B58" s="131"/>
      <c r="C58" s="132"/>
      <c r="D58" s="132"/>
      <c r="E58" s="132"/>
      <c r="F58" s="132"/>
      <c r="G58" s="132"/>
      <c r="H58" s="132"/>
      <c r="I58" s="114"/>
    </row>
    <row r="59" spans="2:9" s="3" customFormat="1" ht="13.6" x14ac:dyDescent="0.25">
      <c r="B59" s="131"/>
      <c r="C59" s="132"/>
      <c r="D59" s="132"/>
      <c r="E59" s="132"/>
      <c r="F59" s="132"/>
      <c r="G59" s="132"/>
      <c r="H59" s="132"/>
      <c r="I59" s="114"/>
    </row>
    <row r="60" spans="2:9" s="3" customFormat="1" ht="13.6" x14ac:dyDescent="0.25">
      <c r="B60" s="131"/>
      <c r="C60" s="132"/>
      <c r="D60" s="132"/>
      <c r="E60" s="132"/>
      <c r="F60" s="132"/>
      <c r="G60" s="132"/>
      <c r="H60" s="132"/>
      <c r="I60" s="114"/>
    </row>
    <row r="61" spans="2:9" s="3" customFormat="1" ht="13.6" x14ac:dyDescent="0.25">
      <c r="B61" s="131"/>
      <c r="C61" s="132"/>
      <c r="D61" s="132"/>
      <c r="E61" s="132"/>
      <c r="F61" s="132"/>
      <c r="G61" s="132"/>
      <c r="H61" s="132"/>
      <c r="I61" s="114"/>
    </row>
    <row r="62" spans="2:9" s="3" customFormat="1" x14ac:dyDescent="0.2">
      <c r="B62" s="116"/>
      <c r="C62" s="132"/>
      <c r="D62" s="132"/>
      <c r="E62" s="132"/>
      <c r="F62" s="132"/>
      <c r="G62" s="132"/>
      <c r="H62" s="132"/>
      <c r="I62" s="114"/>
    </row>
    <row r="63" spans="2:9" s="3" customFormat="1" x14ac:dyDescent="0.2">
      <c r="B63" s="116"/>
      <c r="C63" s="132"/>
      <c r="D63" s="132"/>
      <c r="E63" s="117"/>
      <c r="F63" s="132"/>
      <c r="G63" s="132"/>
      <c r="H63" s="132"/>
      <c r="I63" s="114"/>
    </row>
    <row r="64" spans="2:9" s="3" customFormat="1" x14ac:dyDescent="0.2">
      <c r="B64" s="114"/>
      <c r="C64" s="114"/>
      <c r="D64" s="114"/>
      <c r="E64" s="117"/>
      <c r="F64" s="132"/>
      <c r="G64" s="132"/>
      <c r="H64" s="132"/>
      <c r="I64" s="114"/>
    </row>
    <row r="65" spans="2:9" s="3" customFormat="1" x14ac:dyDescent="0.2">
      <c r="B65" s="114"/>
      <c r="C65" s="114"/>
      <c r="D65" s="114"/>
      <c r="E65" s="117"/>
      <c r="F65" s="132"/>
      <c r="G65" s="132"/>
      <c r="H65" s="132"/>
      <c r="I65" s="114"/>
    </row>
    <row r="66" spans="2:9" s="3" customFormat="1" x14ac:dyDescent="0.2">
      <c r="B66" s="114"/>
      <c r="C66" s="114"/>
      <c r="D66" s="114"/>
      <c r="E66" s="117"/>
      <c r="F66" s="132"/>
      <c r="G66" s="132"/>
      <c r="H66" s="132"/>
      <c r="I66" s="118"/>
    </row>
    <row r="67" spans="2:9" s="3" customFormat="1" x14ac:dyDescent="0.2">
      <c r="B67" s="114"/>
      <c r="C67" s="114"/>
      <c r="D67" s="114"/>
      <c r="E67" s="117"/>
      <c r="F67" s="132"/>
      <c r="G67" s="132"/>
      <c r="H67" s="132"/>
      <c r="I67" s="132"/>
    </row>
    <row r="68" spans="2:9" s="3" customFormat="1" x14ac:dyDescent="0.2">
      <c r="B68" s="114"/>
      <c r="C68" s="114"/>
      <c r="D68" s="114"/>
      <c r="E68" s="117"/>
      <c r="F68" s="117"/>
      <c r="G68" s="117"/>
      <c r="H68" s="114"/>
      <c r="I68" s="114"/>
    </row>
    <row r="69" spans="2:9" s="3" customFormat="1" x14ac:dyDescent="0.2">
      <c r="B69" s="114"/>
      <c r="C69" s="114"/>
      <c r="D69" s="114"/>
      <c r="E69" s="117"/>
      <c r="F69" s="117"/>
      <c r="G69" s="117"/>
      <c r="H69" s="114"/>
      <c r="I69" s="114"/>
    </row>
    <row r="70" spans="2:9" s="3" customFormat="1" x14ac:dyDescent="0.2">
      <c r="B70" s="114"/>
      <c r="C70" s="114"/>
      <c r="D70" s="114"/>
      <c r="E70" s="117"/>
      <c r="F70" s="117"/>
      <c r="G70" s="117"/>
      <c r="H70" s="114"/>
      <c r="I70" s="114"/>
    </row>
    <row r="71" spans="2:9" s="3" customFormat="1" x14ac:dyDescent="0.2">
      <c r="B71" s="114"/>
      <c r="C71" s="114"/>
      <c r="D71" s="114"/>
      <c r="E71" s="117"/>
      <c r="F71" s="117"/>
      <c r="G71" s="117"/>
      <c r="H71" s="114"/>
      <c r="I71" s="114"/>
    </row>
    <row r="72" spans="2:9" s="3" customFormat="1" x14ac:dyDescent="0.2">
      <c r="B72" s="114"/>
      <c r="C72" s="114"/>
      <c r="D72" s="114"/>
      <c r="E72" s="117"/>
      <c r="F72" s="117"/>
      <c r="G72" s="117"/>
      <c r="H72" s="114"/>
      <c r="I72" s="114"/>
    </row>
    <row r="73" spans="2:9" s="3" customFormat="1" x14ac:dyDescent="0.2">
      <c r="B73" s="114"/>
      <c r="C73" s="114"/>
      <c r="D73" s="114"/>
      <c r="E73" s="88"/>
      <c r="F73" s="117"/>
      <c r="G73" s="117"/>
      <c r="H73" s="114"/>
      <c r="I73" s="114"/>
    </row>
    <row r="74" spans="2:9" s="3" customFormat="1" x14ac:dyDescent="0.2">
      <c r="B74" s="89"/>
      <c r="C74" s="89"/>
      <c r="D74" s="89"/>
      <c r="E74" s="7"/>
      <c r="F74" s="117"/>
      <c r="G74" s="117"/>
      <c r="H74" s="114"/>
      <c r="I74" s="114"/>
    </row>
    <row r="75" spans="2:9" s="3" customFormat="1" x14ac:dyDescent="0.2">
      <c r="B75" s="1"/>
      <c r="C75" s="1"/>
      <c r="D75" s="1"/>
      <c r="E75" s="7"/>
      <c r="F75" s="117"/>
      <c r="G75" s="117"/>
      <c r="H75" s="114"/>
      <c r="I75" s="114"/>
    </row>
    <row r="76" spans="2:9" s="3" customFormat="1" x14ac:dyDescent="0.2">
      <c r="B76" s="1"/>
      <c r="C76" s="1"/>
      <c r="D76" s="1"/>
      <c r="E76" s="7"/>
      <c r="F76" s="117"/>
      <c r="G76" s="117"/>
      <c r="H76" s="114"/>
      <c r="I76" s="114"/>
    </row>
    <row r="77" spans="2:9" x14ac:dyDescent="0.2">
      <c r="F77" s="117"/>
      <c r="G77" s="117"/>
      <c r="H77" s="114"/>
      <c r="I77" s="114"/>
    </row>
    <row r="78" spans="2:9" x14ac:dyDescent="0.2">
      <c r="F78" s="88"/>
      <c r="G78" s="88"/>
      <c r="H78" s="89"/>
      <c r="I78" s="89"/>
    </row>
  </sheetData>
  <sheetProtection algorithmName="SHA-512" hashValue="tG3s6aIpjq86EZQiQ42TLGX9ap8E/46C0nFp99EmXV+8wbdp0HewcjiHkzKmmDE3iOmXBdztLNx6qgp1EnwoeQ==" saltValue="ptqtE3Seswj68YZoFHrNUQ==" spinCount="100000" sheet="1" objects="1" scenarios="1" selectLockedCells="1"/>
  <mergeCells count="1">
    <mergeCell ref="B24:G24"/>
  </mergeCells>
  <phoneticPr fontId="0" type="noConversion"/>
  <printOptions horizontalCentered="1"/>
  <pageMargins left="0.39370078740157483" right="0.39370078740157483" top="0.59055118110236227" bottom="0.59055118110236227" header="0.51181102362204722" footer="0.51181102362204722"/>
  <pageSetup paperSize="9" scale="7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22"/>
  </sheetPr>
  <dimension ref="A1:AP117"/>
  <sheetViews>
    <sheetView showRowColHeaders="0" zoomScaleNormal="100" zoomScaleSheetLayoutView="90" workbookViewId="0">
      <selection activeCell="H7" sqref="H7"/>
    </sheetView>
  </sheetViews>
  <sheetFormatPr baseColWidth="10" defaultColWidth="11.375" defaultRowHeight="13.6" x14ac:dyDescent="0.25"/>
  <cols>
    <col min="1" max="1" width="1.75" style="13" customWidth="1"/>
    <col min="2" max="2" width="11.375" style="84"/>
    <col min="3" max="3" width="7.75" style="84" customWidth="1"/>
    <col min="4" max="4" width="9.75" style="84" customWidth="1"/>
    <col min="5" max="5" width="6.875" style="84" bestFit="1" customWidth="1"/>
    <col min="6" max="6" width="10.875" style="84" customWidth="1"/>
    <col min="7" max="7" width="14.875" style="84" bestFit="1" customWidth="1"/>
    <col min="8" max="8" width="8.75" style="84" bestFit="1" customWidth="1"/>
    <col min="9" max="9" width="18" style="84" customWidth="1"/>
    <col min="10" max="10" width="2.75" style="84" customWidth="1"/>
    <col min="11" max="12" width="11.375" style="84"/>
    <col min="13" max="13" width="11.375" style="85"/>
    <col min="14" max="16" width="11.375" style="84"/>
    <col min="17" max="17" width="2.625" style="84" customWidth="1"/>
    <col min="18" max="19" width="1.75" style="13" customWidth="1"/>
    <col min="20" max="27" width="11.375" style="84"/>
    <col min="28" max="31" width="1.75" style="84" customWidth="1"/>
    <col min="32" max="40" width="11.375" style="84"/>
    <col min="41" max="41" width="1.75" style="84" customWidth="1"/>
    <col min="42" max="16384" width="11.375" style="84"/>
  </cols>
  <sheetData>
    <row r="1" spans="1:30" ht="14.3" customHeight="1" x14ac:dyDescent="0.25">
      <c r="A1" s="101"/>
    </row>
    <row r="2" spans="1:30" ht="14.3" customHeight="1" x14ac:dyDescent="0.25"/>
    <row r="3" spans="1:30" ht="16.3" x14ac:dyDescent="0.3">
      <c r="B3" s="173" t="s">
        <v>2326</v>
      </c>
      <c r="C3" s="174"/>
      <c r="D3" s="174"/>
      <c r="E3" s="174"/>
      <c r="F3" s="174"/>
      <c r="G3" s="174"/>
      <c r="H3" s="174"/>
      <c r="I3" s="174"/>
      <c r="J3" s="173" t="s">
        <v>1998</v>
      </c>
      <c r="K3" s="174"/>
      <c r="L3" s="174"/>
      <c r="M3" s="175"/>
      <c r="N3" s="174"/>
      <c r="O3" s="174"/>
      <c r="P3" s="174"/>
      <c r="Q3" s="174"/>
      <c r="R3" s="176"/>
      <c r="S3" s="87" t="s">
        <v>1999</v>
      </c>
      <c r="AD3" s="13"/>
    </row>
    <row r="4" spans="1:30" ht="5.0999999999999996" customHeight="1" x14ac:dyDescent="0.25">
      <c r="B4" s="174"/>
      <c r="C4" s="174"/>
      <c r="D4" s="174"/>
      <c r="E4" s="174"/>
      <c r="F4" s="174"/>
      <c r="G4" s="174"/>
      <c r="H4" s="174"/>
      <c r="I4" s="174"/>
      <c r="J4" s="174"/>
      <c r="K4" s="174"/>
      <c r="L4" s="174"/>
      <c r="M4" s="175"/>
      <c r="N4" s="174"/>
      <c r="O4" s="174"/>
      <c r="P4" s="174"/>
      <c r="Q4" s="174"/>
      <c r="R4" s="176"/>
      <c r="AD4" s="13"/>
    </row>
    <row r="5" spans="1:30" ht="12.75" customHeight="1" x14ac:dyDescent="0.25">
      <c r="B5" s="157" t="s">
        <v>2133</v>
      </c>
      <c r="C5" s="147"/>
      <c r="D5" s="147"/>
      <c r="E5" s="147"/>
      <c r="F5" s="147"/>
      <c r="G5" s="159"/>
      <c r="H5" s="159"/>
      <c r="I5" s="158"/>
      <c r="J5" s="196" t="s">
        <v>2485</v>
      </c>
      <c r="K5" s="142"/>
      <c r="L5" s="142"/>
      <c r="M5" s="149"/>
      <c r="N5" s="142"/>
      <c r="O5" s="142"/>
      <c r="P5" s="142"/>
      <c r="Q5" s="142"/>
      <c r="R5" s="176"/>
      <c r="S5" s="742" t="s">
        <v>2486</v>
      </c>
      <c r="T5" s="742"/>
      <c r="U5" s="742"/>
      <c r="V5" s="742"/>
      <c r="W5" s="742"/>
      <c r="X5" s="742"/>
      <c r="Y5" s="742"/>
      <c r="Z5" s="742"/>
      <c r="AA5" s="742"/>
      <c r="AB5" s="742"/>
      <c r="AC5" s="55"/>
      <c r="AD5" s="13"/>
    </row>
    <row r="6" spans="1:30" x14ac:dyDescent="0.25">
      <c r="B6" s="137"/>
      <c r="C6" s="737" t="s">
        <v>2082</v>
      </c>
      <c r="D6" s="738"/>
      <c r="E6" s="738" t="s">
        <v>800</v>
      </c>
      <c r="F6" s="738"/>
      <c r="G6" s="738" t="s">
        <v>797</v>
      </c>
      <c r="H6" s="738"/>
      <c r="I6" s="151"/>
      <c r="J6" s="177"/>
      <c r="K6" s="142"/>
      <c r="L6" s="142"/>
      <c r="M6" s="149"/>
      <c r="N6" s="142"/>
      <c r="O6" s="142"/>
      <c r="P6" s="142"/>
      <c r="Q6" s="142"/>
      <c r="R6" s="176"/>
      <c r="S6" s="194"/>
      <c r="T6" s="86"/>
      <c r="U6" s="86"/>
      <c r="V6" s="86"/>
      <c r="W6" s="86"/>
      <c r="X6" s="86"/>
      <c r="Y6" s="86"/>
      <c r="Z6" s="86"/>
      <c r="AA6" s="86"/>
      <c r="AB6" s="86"/>
      <c r="AC6" s="55"/>
      <c r="AD6" s="13"/>
    </row>
    <row r="7" spans="1:30" ht="13.75" customHeight="1" x14ac:dyDescent="0.25">
      <c r="B7" s="137"/>
      <c r="C7" s="153" t="s">
        <v>1975</v>
      </c>
      <c r="D7" s="153" t="s">
        <v>1975</v>
      </c>
      <c r="E7" s="155" t="s">
        <v>799</v>
      </c>
      <c r="F7" s="178"/>
      <c r="G7" s="154" t="s">
        <v>799</v>
      </c>
      <c r="H7" s="154" t="s">
        <v>798</v>
      </c>
      <c r="I7" s="179"/>
      <c r="J7" s="142"/>
      <c r="K7" s="142"/>
      <c r="L7" s="142"/>
      <c r="M7" s="180"/>
      <c r="N7" s="142"/>
      <c r="O7" s="142"/>
      <c r="P7" s="142"/>
      <c r="Q7" s="142"/>
      <c r="R7" s="176"/>
      <c r="S7" s="194"/>
      <c r="T7" s="86"/>
      <c r="U7" s="86"/>
      <c r="V7" s="86"/>
      <c r="W7" s="86"/>
      <c r="X7" s="86"/>
      <c r="Y7" s="86"/>
      <c r="Z7" s="86"/>
      <c r="AA7" s="86"/>
      <c r="AB7" s="86"/>
      <c r="AC7" s="55"/>
      <c r="AD7" s="13"/>
    </row>
    <row r="8" spans="1:30" x14ac:dyDescent="0.25">
      <c r="B8" s="137"/>
      <c r="C8" s="181" t="s">
        <v>1775</v>
      </c>
      <c r="D8" s="152" t="s">
        <v>2084</v>
      </c>
      <c r="E8" s="152">
        <v>300</v>
      </c>
      <c r="F8" s="195" t="s">
        <v>2083</v>
      </c>
      <c r="G8" s="182" t="e">
        <f>IF(H11&lt;&gt;0,200,IF(Eingabe!#REF!=Eingabe!C123,IF(Eingabe!#REF!=Eingabe!C175,275,IF(Eingabe!#REF!=Eingabe!C174,375,0)),0))</f>
        <v>#REF!</v>
      </c>
      <c r="H8" s="154" t="s">
        <v>801</v>
      </c>
      <c r="I8" s="179"/>
      <c r="J8" s="142"/>
      <c r="K8" s="142"/>
      <c r="L8" s="142"/>
      <c r="M8" s="180"/>
      <c r="N8" s="142"/>
      <c r="O8" s="142"/>
      <c r="P8" s="142"/>
      <c r="Q8" s="142"/>
      <c r="R8" s="176"/>
      <c r="S8" s="194"/>
      <c r="T8" s="86"/>
      <c r="U8" s="86"/>
      <c r="V8" s="86"/>
      <c r="W8" s="86"/>
      <c r="X8" s="86"/>
      <c r="Y8" s="86"/>
      <c r="Z8" s="86"/>
      <c r="AA8" s="86"/>
      <c r="AB8" s="86"/>
      <c r="AC8" s="55"/>
      <c r="AD8" s="13"/>
    </row>
    <row r="9" spans="1:30" x14ac:dyDescent="0.25">
      <c r="B9" s="137"/>
      <c r="C9" s="152">
        <v>4</v>
      </c>
      <c r="D9" s="152" t="s">
        <v>2084</v>
      </c>
      <c r="E9" s="152">
        <v>300</v>
      </c>
      <c r="F9" s="195" t="s">
        <v>2083</v>
      </c>
      <c r="G9" s="182" t="e">
        <f>$G$8</f>
        <v>#REF!</v>
      </c>
      <c r="H9" s="152" t="s">
        <v>801</v>
      </c>
      <c r="I9" s="179"/>
      <c r="J9" s="142"/>
      <c r="K9" s="142" t="s">
        <v>266</v>
      </c>
      <c r="L9" s="142"/>
      <c r="M9" s="180"/>
      <c r="N9" s="142"/>
      <c r="O9" s="142"/>
      <c r="P9" s="142"/>
      <c r="Q9" s="142"/>
      <c r="R9" s="176"/>
      <c r="S9" s="194"/>
      <c r="T9" s="90"/>
      <c r="U9" s="90"/>
      <c r="V9" s="90"/>
      <c r="W9" s="90"/>
      <c r="X9" s="90"/>
      <c r="Y9" s="90"/>
      <c r="Z9" s="90"/>
      <c r="AA9" s="90"/>
      <c r="AB9" s="86"/>
      <c r="AC9" s="55"/>
      <c r="AD9" s="13"/>
    </row>
    <row r="10" spans="1:30" x14ac:dyDescent="0.25">
      <c r="B10" s="137"/>
      <c r="C10" s="152">
        <v>5</v>
      </c>
      <c r="D10" s="152" t="s">
        <v>2084</v>
      </c>
      <c r="E10" s="152">
        <v>300</v>
      </c>
      <c r="F10" s="195" t="s">
        <v>2083</v>
      </c>
      <c r="G10" s="182" t="e">
        <f>$G$8</f>
        <v>#REF!</v>
      </c>
      <c r="H10" s="152" t="s">
        <v>801</v>
      </c>
      <c r="I10" s="183"/>
      <c r="J10" s="138"/>
      <c r="K10" s="746" t="s">
        <v>2553</v>
      </c>
      <c r="L10" s="740"/>
      <c r="M10" s="740"/>
      <c r="N10" s="740"/>
      <c r="O10" s="740"/>
      <c r="P10" s="741"/>
      <c r="Q10" s="142"/>
      <c r="R10" s="176"/>
      <c r="S10" s="194"/>
      <c r="T10" s="90"/>
      <c r="U10" s="90"/>
      <c r="V10" s="90"/>
      <c r="W10" s="90"/>
      <c r="X10" s="90"/>
      <c r="Y10" s="90"/>
      <c r="Z10" s="90"/>
      <c r="AA10" s="90"/>
      <c r="AB10" s="86"/>
      <c r="AC10" s="55"/>
      <c r="AD10" s="13"/>
    </row>
    <row r="11" spans="1:30" x14ac:dyDescent="0.25">
      <c r="B11" s="137"/>
      <c r="C11" s="152" t="s">
        <v>2478</v>
      </c>
      <c r="D11" s="152" t="s">
        <v>2084</v>
      </c>
      <c r="E11" s="195" t="s">
        <v>801</v>
      </c>
      <c r="F11" s="195" t="s">
        <v>801</v>
      </c>
      <c r="G11" s="182" t="e">
        <f>IF(AND($G$8&lt;275,H11&lt;&gt;0),200,0)</f>
        <v>#REF!</v>
      </c>
      <c r="H11" s="184" t="e">
        <f>IF(AND(Eingabe!#REF!&gt;5,Eingabe!#REF!&lt;=200,Eingabe!#REF!=Eingabe!C121),IF(AND(Eingabe!#REF!=Eingabe!$C$174,Eingabe!#REF!&lt;=20,Eingabe!#REF!=Eingabe!$C$148),Eingabe!$W$182,IF(Eingabe!#REF!=Eingabe!$C$176,Eingabe!$P$191,Eingabe!$I$191)),0)</f>
        <v>#REF!</v>
      </c>
      <c r="I11" s="185"/>
      <c r="J11" s="142"/>
      <c r="K11" s="142"/>
      <c r="L11" s="142"/>
      <c r="M11" s="149"/>
      <c r="N11" s="142"/>
      <c r="O11" s="142"/>
      <c r="P11" s="142"/>
      <c r="Q11" s="142"/>
      <c r="R11" s="176"/>
      <c r="S11" s="194"/>
      <c r="T11" s="90"/>
      <c r="U11" s="90"/>
      <c r="V11" s="90"/>
      <c r="W11" s="90"/>
      <c r="X11" s="90"/>
      <c r="Y11" s="90"/>
      <c r="Z11" s="90"/>
      <c r="AA11" s="90"/>
      <c r="AB11" s="86"/>
      <c r="AC11" s="55"/>
      <c r="AD11" s="13"/>
    </row>
    <row r="12" spans="1:30" ht="12.75" customHeight="1" x14ac:dyDescent="0.25">
      <c r="B12" s="137"/>
      <c r="C12" s="186"/>
      <c r="D12" s="186"/>
      <c r="E12" s="186"/>
      <c r="F12" s="186"/>
      <c r="G12" s="187"/>
      <c r="H12" s="188"/>
      <c r="I12" s="185"/>
      <c r="J12" s="142"/>
      <c r="K12" s="142"/>
      <c r="L12" s="142"/>
      <c r="M12" s="149"/>
      <c r="N12" s="142"/>
      <c r="O12" s="142"/>
      <c r="P12" s="142"/>
      <c r="Q12" s="142"/>
      <c r="R12" s="176"/>
      <c r="S12" s="194"/>
      <c r="T12" s="90"/>
      <c r="U12" s="90"/>
      <c r="V12" s="90"/>
      <c r="W12" s="90"/>
      <c r="X12" s="90"/>
      <c r="Y12" s="90"/>
      <c r="Z12" s="90"/>
      <c r="AA12" s="90"/>
      <c r="AB12" s="86"/>
      <c r="AC12" s="55"/>
      <c r="AD12" s="13"/>
    </row>
    <row r="13" spans="1:30" x14ac:dyDescent="0.25">
      <c r="B13" s="189" t="s">
        <v>1592</v>
      </c>
      <c r="C13" s="142"/>
      <c r="D13" s="137"/>
      <c r="E13" s="137"/>
      <c r="F13" s="142"/>
      <c r="G13" s="142"/>
      <c r="H13" s="142"/>
      <c r="I13" s="151"/>
      <c r="J13" s="142"/>
      <c r="K13" s="142"/>
      <c r="L13" s="142"/>
      <c r="M13" s="149"/>
      <c r="N13" s="142"/>
      <c r="O13" s="142"/>
      <c r="P13" s="142"/>
      <c r="Q13" s="142"/>
      <c r="R13" s="176"/>
      <c r="S13" s="194"/>
      <c r="T13" s="90"/>
      <c r="U13" s="90"/>
      <c r="V13" s="90"/>
      <c r="W13" s="90"/>
      <c r="X13" s="90"/>
      <c r="Y13" s="90"/>
      <c r="Z13" s="90"/>
      <c r="AA13" s="90"/>
      <c r="AB13" s="86"/>
      <c r="AC13" s="55"/>
      <c r="AD13" s="13"/>
    </row>
    <row r="14" spans="1:30" x14ac:dyDescent="0.25">
      <c r="B14" s="142">
        <f>Eingabe!P161</f>
        <v>0</v>
      </c>
      <c r="C14" s="142"/>
      <c r="D14" s="142"/>
      <c r="E14" s="142"/>
      <c r="F14" s="142"/>
      <c r="G14" s="142"/>
      <c r="H14" s="142"/>
      <c r="I14" s="151"/>
      <c r="J14" s="142"/>
      <c r="K14" s="142"/>
      <c r="L14" s="142"/>
      <c r="M14" s="149"/>
      <c r="N14" s="142"/>
      <c r="O14" s="142"/>
      <c r="P14" s="142"/>
      <c r="Q14" s="142"/>
      <c r="R14" s="176"/>
      <c r="S14" s="194"/>
      <c r="T14" s="90"/>
      <c r="U14" s="90"/>
      <c r="V14" s="90"/>
      <c r="W14" s="90"/>
      <c r="X14" s="90"/>
      <c r="Y14" s="90"/>
      <c r="Z14" s="90"/>
      <c r="AA14" s="90"/>
      <c r="AB14" s="86"/>
      <c r="AC14" s="55"/>
      <c r="AD14" s="13"/>
    </row>
    <row r="15" spans="1:30" ht="14.95" customHeight="1" x14ac:dyDescent="0.25">
      <c r="B15" s="137"/>
      <c r="C15" s="186"/>
      <c r="D15" s="186"/>
      <c r="E15" s="186"/>
      <c r="F15" s="186"/>
      <c r="G15" s="187"/>
      <c r="H15" s="188"/>
      <c r="I15" s="185"/>
      <c r="J15" s="142"/>
      <c r="K15" s="142"/>
      <c r="L15" s="142"/>
      <c r="M15" s="149"/>
      <c r="N15" s="142"/>
      <c r="O15" s="142"/>
      <c r="P15" s="142"/>
      <c r="Q15" s="142"/>
      <c r="R15" s="176"/>
      <c r="S15" s="742"/>
      <c r="T15" s="742"/>
      <c r="U15" s="742"/>
      <c r="V15" s="742"/>
      <c r="W15" s="742"/>
      <c r="X15" s="742"/>
      <c r="Y15" s="742"/>
      <c r="Z15" s="742"/>
      <c r="AA15" s="742"/>
      <c r="AB15" s="742"/>
      <c r="AC15" s="55"/>
      <c r="AD15" s="13"/>
    </row>
    <row r="16" spans="1:30" ht="5.0999999999999996" customHeight="1" x14ac:dyDescent="0.25">
      <c r="B16" s="174"/>
      <c r="C16" s="174"/>
      <c r="D16" s="174"/>
      <c r="E16" s="174"/>
      <c r="F16" s="174"/>
      <c r="G16" s="174"/>
      <c r="H16" s="174"/>
      <c r="I16" s="174"/>
      <c r="J16" s="174"/>
      <c r="K16" s="190"/>
      <c r="L16" s="174"/>
      <c r="M16" s="175"/>
      <c r="N16" s="174"/>
      <c r="O16" s="174"/>
      <c r="P16" s="174"/>
      <c r="Q16" s="174"/>
      <c r="R16" s="176"/>
      <c r="S16" s="194"/>
      <c r="T16" s="90"/>
      <c r="U16" s="90"/>
      <c r="V16" s="90"/>
      <c r="W16" s="90"/>
      <c r="X16" s="90"/>
      <c r="Y16" s="90"/>
      <c r="Z16" s="90"/>
      <c r="AA16" s="90"/>
      <c r="AB16" s="86"/>
      <c r="AC16" s="55"/>
      <c r="AD16" s="13"/>
    </row>
    <row r="17" spans="2:40" x14ac:dyDescent="0.25">
      <c r="B17" s="157" t="s">
        <v>2085</v>
      </c>
      <c r="C17" s="147"/>
      <c r="D17" s="147"/>
      <c r="E17" s="147"/>
      <c r="F17" s="147"/>
      <c r="G17" s="159"/>
      <c r="H17" s="159"/>
      <c r="I17" s="158"/>
      <c r="J17" s="196" t="s">
        <v>2485</v>
      </c>
      <c r="K17" s="142"/>
      <c r="L17" s="142"/>
      <c r="M17" s="149"/>
      <c r="N17" s="142"/>
      <c r="O17" s="142"/>
      <c r="P17" s="142"/>
      <c r="Q17" s="142"/>
      <c r="R17" s="176"/>
      <c r="S17" s="194"/>
      <c r="T17" s="90"/>
      <c r="U17" s="90"/>
      <c r="V17" s="90"/>
      <c r="W17" s="90"/>
      <c r="X17" s="90"/>
      <c r="Y17" s="90"/>
      <c r="Z17" s="90"/>
      <c r="AA17" s="90"/>
      <c r="AB17" s="86"/>
      <c r="AC17" s="55"/>
      <c r="AD17" s="13"/>
      <c r="AE17" s="15"/>
      <c r="AF17" s="55"/>
      <c r="AG17" s="55"/>
      <c r="AH17" s="55"/>
      <c r="AI17" s="55"/>
      <c r="AJ17" s="55"/>
      <c r="AK17" s="55"/>
      <c r="AL17" s="55"/>
      <c r="AM17" s="55"/>
      <c r="AN17" s="55"/>
    </row>
    <row r="18" spans="2:40" x14ac:dyDescent="0.25">
      <c r="B18" s="137"/>
      <c r="C18" s="737" t="s">
        <v>2082</v>
      </c>
      <c r="D18" s="738"/>
      <c r="E18" s="738" t="s">
        <v>800</v>
      </c>
      <c r="F18" s="738"/>
      <c r="G18" s="738" t="s">
        <v>797</v>
      </c>
      <c r="H18" s="738"/>
      <c r="I18" s="151"/>
      <c r="J18" s="177"/>
      <c r="K18" s="142"/>
      <c r="L18" s="142"/>
      <c r="M18" s="149"/>
      <c r="N18" s="142"/>
      <c r="O18" s="142"/>
      <c r="P18" s="142"/>
      <c r="Q18" s="142"/>
      <c r="R18" s="176"/>
      <c r="S18" s="194"/>
      <c r="T18" s="90"/>
      <c r="U18" s="90"/>
      <c r="V18" s="90"/>
      <c r="W18" s="90"/>
      <c r="X18" s="90"/>
      <c r="Y18" s="90"/>
      <c r="Z18" s="90"/>
      <c r="AA18" s="90"/>
      <c r="AB18" s="86"/>
      <c r="AC18" s="55"/>
      <c r="AD18" s="13"/>
      <c r="AE18" s="15"/>
      <c r="AF18" s="55"/>
      <c r="AG18" s="55"/>
      <c r="AH18" s="55"/>
      <c r="AI18" s="55"/>
      <c r="AJ18" s="55"/>
      <c r="AK18" s="55"/>
      <c r="AL18" s="55"/>
      <c r="AM18" s="55"/>
      <c r="AN18" s="55"/>
    </row>
    <row r="19" spans="2:40" ht="13.75" customHeight="1" x14ac:dyDescent="0.25">
      <c r="B19" s="137"/>
      <c r="C19" s="153" t="s">
        <v>1975</v>
      </c>
      <c r="D19" s="153" t="s">
        <v>1975</v>
      </c>
      <c r="E19" s="155" t="s">
        <v>799</v>
      </c>
      <c r="F19" s="178"/>
      <c r="G19" s="154" t="s">
        <v>799</v>
      </c>
      <c r="H19" s="154" t="s">
        <v>798</v>
      </c>
      <c r="I19" s="179"/>
      <c r="J19" s="142"/>
      <c r="K19" s="142"/>
      <c r="L19" s="142"/>
      <c r="M19" s="180"/>
      <c r="N19" s="142"/>
      <c r="O19" s="142"/>
      <c r="P19" s="142"/>
      <c r="Q19" s="142"/>
      <c r="R19" s="176"/>
      <c r="S19" s="194"/>
      <c r="T19" s="90"/>
      <c r="U19" s="90"/>
      <c r="V19" s="90"/>
      <c r="W19" s="90"/>
      <c r="X19" s="90"/>
      <c r="Y19" s="90"/>
      <c r="Z19" s="90"/>
      <c r="AA19" s="90"/>
      <c r="AB19" s="86"/>
      <c r="AC19" s="55"/>
      <c r="AD19" s="13"/>
      <c r="AE19" s="15"/>
      <c r="AF19" s="97"/>
      <c r="AG19" s="55"/>
      <c r="AH19" s="55"/>
      <c r="AI19" s="55"/>
      <c r="AJ19" s="55"/>
      <c r="AK19" s="55"/>
      <c r="AL19" s="55"/>
      <c r="AM19" s="55"/>
      <c r="AN19" s="55"/>
    </row>
    <row r="20" spans="2:40" x14ac:dyDescent="0.25">
      <c r="B20" s="137"/>
      <c r="C20" s="181" t="s">
        <v>1775</v>
      </c>
      <c r="D20" s="152" t="s">
        <v>2084</v>
      </c>
      <c r="E20" s="152" t="s">
        <v>801</v>
      </c>
      <c r="F20" s="152" t="s">
        <v>801</v>
      </c>
      <c r="G20" s="182" t="e">
        <f>$G$8</f>
        <v>#REF!</v>
      </c>
      <c r="H20" s="154" t="s">
        <v>801</v>
      </c>
      <c r="I20" s="179"/>
      <c r="J20" s="142"/>
      <c r="K20" s="142"/>
      <c r="L20" s="142"/>
      <c r="M20" s="180"/>
      <c r="N20" s="142"/>
      <c r="O20" s="142"/>
      <c r="P20" s="142"/>
      <c r="Q20" s="142"/>
      <c r="R20" s="176"/>
      <c r="S20" s="194"/>
      <c r="T20" s="90"/>
      <c r="U20" s="90"/>
      <c r="V20" s="90"/>
      <c r="W20" s="90"/>
      <c r="X20" s="90"/>
      <c r="Y20" s="90"/>
      <c r="Z20" s="90"/>
      <c r="AA20" s="90"/>
      <c r="AB20" s="86"/>
      <c r="AC20" s="55"/>
      <c r="AD20" s="13"/>
      <c r="AE20" s="15"/>
      <c r="AF20" s="98"/>
      <c r="AG20" s="55"/>
      <c r="AH20" s="55"/>
      <c r="AI20" s="55"/>
      <c r="AJ20" s="55"/>
      <c r="AK20" s="55"/>
      <c r="AL20" s="55"/>
      <c r="AM20" s="55"/>
      <c r="AN20" s="55"/>
    </row>
    <row r="21" spans="2:40" x14ac:dyDescent="0.25">
      <c r="B21" s="137"/>
      <c r="C21" s="152">
        <v>4</v>
      </c>
      <c r="D21" s="152" t="s">
        <v>2084</v>
      </c>
      <c r="E21" s="152" t="s">
        <v>801</v>
      </c>
      <c r="F21" s="152" t="s">
        <v>801</v>
      </c>
      <c r="G21" s="182" t="e">
        <f>$G$8</f>
        <v>#REF!</v>
      </c>
      <c r="H21" s="152" t="s">
        <v>801</v>
      </c>
      <c r="I21" s="179"/>
      <c r="J21" s="142"/>
      <c r="K21" s="142" t="s">
        <v>266</v>
      </c>
      <c r="L21" s="142"/>
      <c r="M21" s="180"/>
      <c r="N21" s="142"/>
      <c r="O21" s="142"/>
      <c r="P21" s="142"/>
      <c r="Q21" s="142"/>
      <c r="R21" s="176"/>
      <c r="S21" s="194"/>
      <c r="T21" s="90"/>
      <c r="U21" s="90"/>
      <c r="V21" s="90"/>
      <c r="W21" s="90"/>
      <c r="X21" s="90"/>
      <c r="Y21" s="90"/>
      <c r="Z21" s="90"/>
      <c r="AA21" s="90"/>
      <c r="AB21" s="86"/>
      <c r="AC21" s="55"/>
      <c r="AD21" s="13"/>
      <c r="AE21" s="15"/>
      <c r="AF21" s="98"/>
      <c r="AG21" s="55"/>
      <c r="AH21" s="55"/>
      <c r="AI21" s="55"/>
      <c r="AJ21" s="55"/>
      <c r="AK21" s="55"/>
      <c r="AL21" s="55"/>
      <c r="AM21" s="55"/>
      <c r="AN21" s="55"/>
    </row>
    <row r="22" spans="2:40" x14ac:dyDescent="0.25">
      <c r="B22" s="137"/>
      <c r="C22" s="152">
        <v>5</v>
      </c>
      <c r="D22" s="152" t="s">
        <v>2084</v>
      </c>
      <c r="E22" s="152" t="s">
        <v>801</v>
      </c>
      <c r="F22" s="152" t="s">
        <v>801</v>
      </c>
      <c r="G22" s="182" t="e">
        <f>$G$8</f>
        <v>#REF!</v>
      </c>
      <c r="H22" s="152" t="s">
        <v>801</v>
      </c>
      <c r="I22" s="183"/>
      <c r="J22" s="138"/>
      <c r="K22" s="739" t="s">
        <v>2477</v>
      </c>
      <c r="L22" s="740"/>
      <c r="M22" s="740"/>
      <c r="N22" s="740"/>
      <c r="O22" s="740"/>
      <c r="P22" s="741"/>
      <c r="Q22" s="142"/>
      <c r="R22" s="176"/>
      <c r="S22" s="194"/>
      <c r="T22" s="90"/>
      <c r="U22" s="90"/>
      <c r="V22" s="90"/>
      <c r="W22" s="90"/>
      <c r="X22" s="90"/>
      <c r="Y22" s="90"/>
      <c r="Z22" s="90"/>
      <c r="AA22" s="90"/>
      <c r="AB22" s="86"/>
      <c r="AC22" s="55"/>
      <c r="AD22" s="13"/>
      <c r="AE22" s="15"/>
      <c r="AF22" s="97"/>
      <c r="AG22" s="55"/>
      <c r="AH22" s="55"/>
      <c r="AI22" s="55"/>
      <c r="AJ22" s="55"/>
      <c r="AK22" s="55"/>
      <c r="AL22" s="55"/>
      <c r="AM22" s="55"/>
      <c r="AN22" s="55"/>
    </row>
    <row r="23" spans="2:40" x14ac:dyDescent="0.25">
      <c r="B23" s="137"/>
      <c r="C23" s="152" t="s">
        <v>2478</v>
      </c>
      <c r="D23" s="152" t="s">
        <v>2084</v>
      </c>
      <c r="E23" s="152" t="s">
        <v>801</v>
      </c>
      <c r="F23" s="152" t="s">
        <v>801</v>
      </c>
      <c r="G23" s="182" t="e">
        <f>$G$11</f>
        <v>#REF!</v>
      </c>
      <c r="H23" s="184" t="e">
        <f>$H$11</f>
        <v>#REF!</v>
      </c>
      <c r="I23" s="185"/>
      <c r="J23" s="142"/>
      <c r="K23" s="142"/>
      <c r="L23" s="142"/>
      <c r="M23" s="149"/>
      <c r="N23" s="142"/>
      <c r="O23" s="142"/>
      <c r="P23" s="142"/>
      <c r="Q23" s="142"/>
      <c r="R23" s="176"/>
      <c r="S23" s="194"/>
      <c r="T23" s="90"/>
      <c r="U23" s="90"/>
      <c r="V23" s="90"/>
      <c r="W23" s="90"/>
      <c r="X23" s="90"/>
      <c r="Y23" s="90"/>
      <c r="Z23" s="90"/>
      <c r="AA23" s="90"/>
      <c r="AB23" s="86"/>
      <c r="AC23" s="55"/>
      <c r="AD23" s="13"/>
      <c r="AE23" s="15"/>
      <c r="AF23" s="98"/>
      <c r="AG23" s="55"/>
      <c r="AH23" s="55"/>
      <c r="AI23" s="55"/>
      <c r="AJ23" s="55"/>
      <c r="AK23" s="55"/>
      <c r="AL23" s="55"/>
      <c r="AM23" s="55"/>
      <c r="AN23" s="55"/>
    </row>
    <row r="24" spans="2:40" x14ac:dyDescent="0.25">
      <c r="B24" s="137"/>
      <c r="C24" s="186"/>
      <c r="D24" s="186"/>
      <c r="E24" s="186"/>
      <c r="F24" s="186"/>
      <c r="G24" s="187"/>
      <c r="H24" s="188"/>
      <c r="I24" s="185"/>
      <c r="J24" s="142"/>
      <c r="K24" s="142"/>
      <c r="L24" s="142"/>
      <c r="M24" s="149"/>
      <c r="N24" s="142"/>
      <c r="O24" s="142"/>
      <c r="P24" s="142"/>
      <c r="Q24" s="142"/>
      <c r="R24" s="176"/>
      <c r="S24" s="194"/>
      <c r="T24" s="90"/>
      <c r="U24" s="90"/>
      <c r="V24" s="90"/>
      <c r="W24" s="90"/>
      <c r="X24" s="90"/>
      <c r="Y24" s="90"/>
      <c r="Z24" s="90"/>
      <c r="AA24" s="90"/>
      <c r="AB24" s="86"/>
      <c r="AC24" s="55"/>
      <c r="AD24" s="13"/>
      <c r="AE24" s="15"/>
      <c r="AF24" s="98"/>
      <c r="AG24" s="55"/>
      <c r="AH24" s="55"/>
      <c r="AI24" s="55"/>
      <c r="AJ24" s="55"/>
      <c r="AK24" s="55"/>
      <c r="AL24" s="55"/>
      <c r="AM24" s="55"/>
      <c r="AN24" s="55"/>
    </row>
    <row r="25" spans="2:40" x14ac:dyDescent="0.25">
      <c r="B25" s="189" t="s">
        <v>1592</v>
      </c>
      <c r="C25" s="142"/>
      <c r="D25" s="137"/>
      <c r="E25" s="137"/>
      <c r="F25" s="142"/>
      <c r="G25" s="142"/>
      <c r="H25" s="142"/>
      <c r="I25" s="151"/>
      <c r="J25" s="142"/>
      <c r="K25" s="142"/>
      <c r="L25" s="142"/>
      <c r="M25" s="149"/>
      <c r="N25" s="142"/>
      <c r="O25" s="142"/>
      <c r="P25" s="142"/>
      <c r="Q25" s="142"/>
      <c r="R25" s="176"/>
      <c r="S25" s="194"/>
      <c r="T25" s="90"/>
      <c r="U25" s="90"/>
      <c r="V25" s="90"/>
      <c r="W25" s="90"/>
      <c r="X25" s="90"/>
      <c r="Y25" s="90"/>
      <c r="Z25" s="90"/>
      <c r="AA25" s="90"/>
      <c r="AB25" s="86"/>
      <c r="AC25" s="55"/>
      <c r="AD25" s="13"/>
      <c r="AE25" s="15"/>
      <c r="AF25" s="98"/>
      <c r="AG25" s="55"/>
      <c r="AH25" s="55"/>
      <c r="AI25" s="55"/>
      <c r="AJ25" s="55"/>
      <c r="AK25" s="55"/>
      <c r="AL25" s="55"/>
      <c r="AM25" s="55"/>
      <c r="AN25" s="55"/>
    </row>
    <row r="26" spans="2:40" x14ac:dyDescent="0.25">
      <c r="B26" s="142">
        <f>Eingabe!P162</f>
        <v>0</v>
      </c>
      <c r="C26" s="142"/>
      <c r="D26" s="142"/>
      <c r="E26" s="142"/>
      <c r="F26" s="142"/>
      <c r="G26" s="142"/>
      <c r="H26" s="142"/>
      <c r="I26" s="151"/>
      <c r="J26" s="142"/>
      <c r="K26" s="142"/>
      <c r="L26" s="142"/>
      <c r="M26" s="149"/>
      <c r="N26" s="142"/>
      <c r="O26" s="142"/>
      <c r="P26" s="142"/>
      <c r="Q26" s="142"/>
      <c r="R26" s="176"/>
      <c r="S26" s="194"/>
      <c r="T26" s="90"/>
      <c r="U26" s="90"/>
      <c r="V26" s="90"/>
      <c r="W26" s="90"/>
      <c r="X26" s="90"/>
      <c r="Y26" s="90"/>
      <c r="Z26" s="90"/>
      <c r="AA26" s="90"/>
      <c r="AB26" s="86"/>
      <c r="AC26" s="55"/>
      <c r="AD26" s="13"/>
      <c r="AE26" s="15"/>
      <c r="AF26" s="97"/>
      <c r="AG26" s="55"/>
      <c r="AH26" s="55"/>
      <c r="AI26" s="55"/>
      <c r="AJ26" s="55"/>
      <c r="AK26" s="55"/>
      <c r="AL26" s="55"/>
      <c r="AM26" s="55"/>
      <c r="AN26" s="55"/>
    </row>
    <row r="27" spans="2:40" x14ac:dyDescent="0.25">
      <c r="B27" s="137"/>
      <c r="C27" s="186"/>
      <c r="D27" s="186"/>
      <c r="E27" s="186"/>
      <c r="F27" s="186"/>
      <c r="G27" s="187"/>
      <c r="H27" s="188"/>
      <c r="I27" s="185"/>
      <c r="J27" s="142"/>
      <c r="K27" s="142"/>
      <c r="L27" s="142"/>
      <c r="M27" s="149"/>
      <c r="N27" s="142"/>
      <c r="O27" s="142"/>
      <c r="P27" s="142"/>
      <c r="Q27" s="142"/>
      <c r="R27" s="176"/>
      <c r="S27" s="194"/>
      <c r="T27" s="90"/>
      <c r="U27" s="90"/>
      <c r="V27" s="90"/>
      <c r="W27" s="90"/>
      <c r="X27" s="90"/>
      <c r="Y27" s="90"/>
      <c r="Z27" s="90"/>
      <c r="AA27" s="90"/>
      <c r="AB27" s="86"/>
      <c r="AC27" s="55"/>
      <c r="AD27" s="13"/>
      <c r="AE27" s="15"/>
      <c r="AF27" s="98"/>
      <c r="AG27" s="55"/>
      <c r="AH27" s="55"/>
      <c r="AI27" s="55"/>
      <c r="AJ27" s="55"/>
      <c r="AK27" s="55"/>
      <c r="AL27" s="55"/>
      <c r="AM27" s="55"/>
      <c r="AN27" s="55"/>
    </row>
    <row r="28" spans="2:40" ht="5.0999999999999996" customHeight="1" x14ac:dyDescent="0.25">
      <c r="B28" s="174"/>
      <c r="C28" s="174"/>
      <c r="D28" s="174"/>
      <c r="E28" s="174"/>
      <c r="F28" s="174"/>
      <c r="G28" s="174"/>
      <c r="H28" s="174"/>
      <c r="I28" s="174"/>
      <c r="J28" s="174"/>
      <c r="K28" s="174"/>
      <c r="L28" s="174"/>
      <c r="M28" s="175"/>
      <c r="N28" s="174"/>
      <c r="O28" s="174"/>
      <c r="P28" s="174"/>
      <c r="Q28" s="174"/>
      <c r="R28" s="176"/>
      <c r="S28" s="194"/>
      <c r="T28" s="90"/>
      <c r="U28" s="90"/>
      <c r="V28" s="90"/>
      <c r="W28" s="90"/>
      <c r="X28" s="90"/>
      <c r="Y28" s="90"/>
      <c r="Z28" s="90"/>
      <c r="AA28" s="90"/>
      <c r="AB28" s="86"/>
      <c r="AC28" s="55"/>
      <c r="AD28" s="13"/>
      <c r="AE28" s="15"/>
      <c r="AF28" s="55"/>
      <c r="AG28" s="55"/>
      <c r="AH28" s="55"/>
      <c r="AI28" s="55"/>
      <c r="AJ28" s="55"/>
      <c r="AK28" s="55"/>
      <c r="AL28" s="55"/>
      <c r="AM28" s="55"/>
      <c r="AN28" s="55"/>
    </row>
    <row r="29" spans="2:40" x14ac:dyDescent="0.25">
      <c r="B29" s="157" t="s">
        <v>2086</v>
      </c>
      <c r="C29" s="147"/>
      <c r="D29" s="147"/>
      <c r="E29" s="147"/>
      <c r="F29" s="147"/>
      <c r="G29" s="159"/>
      <c r="H29" s="159"/>
      <c r="I29" s="158"/>
      <c r="J29" s="196" t="s">
        <v>2564</v>
      </c>
      <c r="K29" s="142"/>
      <c r="L29" s="142"/>
      <c r="M29" s="149"/>
      <c r="N29" s="142"/>
      <c r="O29" s="142"/>
      <c r="P29" s="142"/>
      <c r="Q29" s="142"/>
      <c r="R29" s="176"/>
      <c r="S29" s="194"/>
      <c r="T29" s="90"/>
      <c r="U29" s="90"/>
      <c r="V29" s="90"/>
      <c r="W29" s="90"/>
      <c r="X29" s="90"/>
      <c r="Y29" s="90"/>
      <c r="Z29" s="90"/>
      <c r="AA29" s="90"/>
      <c r="AB29" s="86"/>
      <c r="AC29" s="55"/>
      <c r="AD29" s="13"/>
      <c r="AE29" s="15"/>
      <c r="AF29" s="55"/>
      <c r="AG29" s="55"/>
      <c r="AH29" s="55"/>
      <c r="AI29" s="55"/>
      <c r="AJ29" s="55"/>
      <c r="AK29" s="55"/>
      <c r="AL29" s="55"/>
      <c r="AM29" s="55"/>
      <c r="AN29" s="55"/>
    </row>
    <row r="30" spans="2:40" x14ac:dyDescent="0.25">
      <c r="B30" s="137"/>
      <c r="C30" s="737" t="s">
        <v>2565</v>
      </c>
      <c r="D30" s="738"/>
      <c r="E30" s="738" t="s">
        <v>800</v>
      </c>
      <c r="F30" s="738"/>
      <c r="G30" s="738" t="s">
        <v>797</v>
      </c>
      <c r="H30" s="738"/>
      <c r="I30" s="151"/>
      <c r="J30" s="177"/>
      <c r="K30" s="142"/>
      <c r="L30" s="142"/>
      <c r="M30" s="149"/>
      <c r="N30" s="142"/>
      <c r="O30" s="142"/>
      <c r="P30" s="142"/>
      <c r="Q30" s="142"/>
      <c r="R30" s="176"/>
      <c r="S30" s="194"/>
      <c r="T30" s="90"/>
      <c r="U30" s="90"/>
      <c r="V30" s="90"/>
      <c r="W30" s="90"/>
      <c r="X30" s="90"/>
      <c r="Y30" s="90"/>
      <c r="Z30" s="90"/>
      <c r="AA30" s="90"/>
      <c r="AB30" s="86"/>
      <c r="AC30" s="55"/>
      <c r="AD30" s="13"/>
      <c r="AE30" s="15"/>
      <c r="AF30" s="55"/>
      <c r="AG30" s="55"/>
      <c r="AH30" s="55"/>
      <c r="AI30" s="55"/>
      <c r="AJ30" s="55"/>
      <c r="AK30" s="55"/>
      <c r="AL30" s="55"/>
      <c r="AM30" s="55"/>
      <c r="AN30" s="55"/>
    </row>
    <row r="31" spans="2:40" x14ac:dyDescent="0.25">
      <c r="B31" s="137"/>
      <c r="C31" s="153" t="s">
        <v>1975</v>
      </c>
      <c r="D31" s="153" t="s">
        <v>1975</v>
      </c>
      <c r="E31" s="155" t="s">
        <v>799</v>
      </c>
      <c r="F31" s="178"/>
      <c r="G31" s="154" t="s">
        <v>799</v>
      </c>
      <c r="H31" s="154" t="s">
        <v>798</v>
      </c>
      <c r="I31" s="179"/>
      <c r="J31" s="142"/>
      <c r="K31" s="142"/>
      <c r="L31" s="142"/>
      <c r="M31" s="180"/>
      <c r="N31" s="142"/>
      <c r="O31" s="142"/>
      <c r="P31" s="142"/>
      <c r="Q31" s="142"/>
      <c r="R31" s="176"/>
      <c r="S31" s="194"/>
      <c r="T31" s="90"/>
      <c r="U31" s="90"/>
      <c r="V31" s="90"/>
      <c r="W31" s="90"/>
      <c r="X31" s="90"/>
      <c r="Y31" s="90"/>
      <c r="Z31" s="90"/>
      <c r="AA31" s="90"/>
      <c r="AB31" s="86"/>
      <c r="AC31" s="55"/>
      <c r="AD31" s="13"/>
      <c r="AE31" s="15"/>
      <c r="AF31" s="55"/>
      <c r="AG31" s="55"/>
      <c r="AH31" s="55"/>
      <c r="AI31" s="55"/>
      <c r="AJ31" s="55"/>
      <c r="AK31" s="55"/>
      <c r="AL31" s="55"/>
      <c r="AM31" s="55"/>
      <c r="AN31" s="55"/>
    </row>
    <row r="32" spans="2:40" x14ac:dyDescent="0.25">
      <c r="B32" s="137"/>
      <c r="C32" s="749" t="s">
        <v>2567</v>
      </c>
      <c r="D32" s="750"/>
      <c r="E32" s="152">
        <v>3000</v>
      </c>
      <c r="F32" s="155" t="s">
        <v>2566</v>
      </c>
      <c r="G32" s="182" t="e">
        <f>$G$8</f>
        <v>#REF!</v>
      </c>
      <c r="H32" s="154" t="s">
        <v>801</v>
      </c>
      <c r="I32" s="179"/>
      <c r="J32" s="142"/>
      <c r="K32" s="142"/>
      <c r="L32" s="142"/>
      <c r="M32" s="180"/>
      <c r="N32" s="142"/>
      <c r="O32" s="142"/>
      <c r="P32" s="142"/>
      <c r="Q32" s="142"/>
      <c r="R32" s="176"/>
      <c r="S32" s="194"/>
      <c r="T32" s="90"/>
      <c r="U32" s="90"/>
      <c r="V32" s="90"/>
      <c r="W32" s="90"/>
      <c r="X32" s="90"/>
      <c r="Y32" s="90"/>
      <c r="Z32" s="90"/>
      <c r="AA32" s="90"/>
      <c r="AB32" s="86"/>
      <c r="AC32" s="55"/>
      <c r="AD32" s="13"/>
      <c r="AE32" s="15"/>
      <c r="AF32" s="55"/>
      <c r="AG32" s="55"/>
      <c r="AH32" s="55"/>
      <c r="AI32" s="55"/>
      <c r="AJ32" s="55"/>
      <c r="AK32" s="55"/>
      <c r="AL32" s="55"/>
      <c r="AM32" s="55"/>
      <c r="AN32" s="55"/>
    </row>
    <row r="33" spans="2:42" x14ac:dyDescent="0.25">
      <c r="B33" s="137"/>
      <c r="C33" s="749" t="s">
        <v>2568</v>
      </c>
      <c r="D33" s="750"/>
      <c r="E33" s="152">
        <v>1500</v>
      </c>
      <c r="F33" s="155" t="s">
        <v>2566</v>
      </c>
      <c r="G33" s="182" t="e">
        <f>$G$8</f>
        <v>#REF!</v>
      </c>
      <c r="H33" s="152" t="s">
        <v>801</v>
      </c>
      <c r="I33" s="179"/>
      <c r="J33" s="142"/>
      <c r="K33" s="142" t="s">
        <v>266</v>
      </c>
      <c r="L33" s="142"/>
      <c r="M33" s="180"/>
      <c r="N33" s="142"/>
      <c r="O33" s="142"/>
      <c r="P33" s="142"/>
      <c r="Q33" s="142"/>
      <c r="R33" s="176"/>
      <c r="S33" s="194"/>
      <c r="T33" s="90"/>
      <c r="U33" s="90"/>
      <c r="V33" s="90"/>
      <c r="W33" s="90"/>
      <c r="X33" s="90"/>
      <c r="Y33" s="90"/>
      <c r="Z33" s="90"/>
      <c r="AA33" s="90"/>
      <c r="AB33" s="86"/>
      <c r="AC33" s="55"/>
      <c r="AD33" s="13"/>
      <c r="AE33" s="15"/>
      <c r="AF33" s="55"/>
      <c r="AG33" s="55"/>
      <c r="AH33" s="55"/>
      <c r="AI33" s="55"/>
      <c r="AJ33" s="55"/>
      <c r="AK33" s="55"/>
      <c r="AL33" s="55"/>
      <c r="AM33" s="55"/>
      <c r="AN33" s="55"/>
    </row>
    <row r="34" spans="2:42" x14ac:dyDescent="0.25">
      <c r="B34" s="137"/>
      <c r="C34" s="749" t="s">
        <v>2569</v>
      </c>
      <c r="D34" s="750"/>
      <c r="E34" s="152" t="s">
        <v>801</v>
      </c>
      <c r="F34" s="152" t="s">
        <v>801</v>
      </c>
      <c r="G34" s="182" t="e">
        <f>$G$8</f>
        <v>#REF!</v>
      </c>
      <c r="H34" s="152" t="s">
        <v>801</v>
      </c>
      <c r="I34" s="183"/>
      <c r="J34" s="138"/>
      <c r="K34" s="746" t="s">
        <v>2563</v>
      </c>
      <c r="L34" s="740"/>
      <c r="M34" s="740"/>
      <c r="N34" s="740"/>
      <c r="O34" s="740"/>
      <c r="P34" s="741"/>
      <c r="Q34" s="142"/>
      <c r="R34" s="176"/>
      <c r="S34" s="194"/>
      <c r="T34" s="192"/>
      <c r="U34" s="192"/>
      <c r="V34" s="192"/>
      <c r="W34" s="192"/>
      <c r="X34" s="192"/>
      <c r="Y34" s="90"/>
      <c r="Z34" s="90"/>
      <c r="AA34" s="90"/>
      <c r="AB34" s="86"/>
      <c r="AC34" s="55"/>
      <c r="AD34" s="13"/>
      <c r="AE34" s="15"/>
      <c r="AF34" s="55"/>
      <c r="AG34" s="55"/>
      <c r="AH34" s="55"/>
      <c r="AI34" s="55"/>
      <c r="AJ34" s="55"/>
      <c r="AK34" s="55"/>
      <c r="AL34" s="55"/>
      <c r="AM34" s="55"/>
      <c r="AN34" s="55"/>
      <c r="AP34" s="55"/>
    </row>
    <row r="35" spans="2:42" x14ac:dyDescent="0.25">
      <c r="B35" s="137"/>
      <c r="C35" s="749"/>
      <c r="D35" s="750"/>
      <c r="E35" s="152" t="s">
        <v>801</v>
      </c>
      <c r="F35" s="152" t="s">
        <v>801</v>
      </c>
      <c r="G35" s="182" t="e">
        <f>$G$11</f>
        <v>#REF!</v>
      </c>
      <c r="H35" s="184" t="e">
        <f>$H$11</f>
        <v>#REF!</v>
      </c>
      <c r="I35" s="185"/>
      <c r="J35" s="142"/>
      <c r="K35" s="142"/>
      <c r="L35" s="142"/>
      <c r="M35" s="149"/>
      <c r="N35" s="142"/>
      <c r="O35" s="142"/>
      <c r="P35" s="142"/>
      <c r="Q35" s="142"/>
      <c r="R35" s="176"/>
      <c r="S35" s="194"/>
      <c r="T35" s="142" t="s">
        <v>2481</v>
      </c>
      <c r="U35" s="192"/>
      <c r="V35" s="192"/>
      <c r="W35" s="192"/>
      <c r="X35" s="192"/>
      <c r="Y35" s="90"/>
      <c r="Z35" s="90"/>
      <c r="AA35" s="90"/>
      <c r="AB35" s="86"/>
      <c r="AC35" s="55"/>
      <c r="AD35" s="13"/>
      <c r="AE35" s="15"/>
      <c r="AF35" s="55"/>
      <c r="AG35" s="55"/>
      <c r="AH35" s="55"/>
      <c r="AI35" s="55"/>
      <c r="AJ35" s="55"/>
      <c r="AK35" s="55"/>
      <c r="AL35" s="55"/>
      <c r="AM35" s="55"/>
      <c r="AN35" s="55"/>
      <c r="AP35" s="55"/>
    </row>
    <row r="36" spans="2:42" x14ac:dyDescent="0.25">
      <c r="B36" s="137"/>
      <c r="C36" s="186"/>
      <c r="D36" s="186"/>
      <c r="E36" s="186"/>
      <c r="F36" s="186"/>
      <c r="G36" s="187"/>
      <c r="H36" s="188"/>
      <c r="I36" s="185"/>
      <c r="J36" s="142"/>
      <c r="K36" s="142"/>
      <c r="L36" s="142"/>
      <c r="M36" s="149"/>
      <c r="N36" s="142"/>
      <c r="O36" s="142"/>
      <c r="P36" s="142"/>
      <c r="Q36" s="142"/>
      <c r="R36" s="176"/>
      <c r="S36" s="194"/>
      <c r="T36" s="743" t="s">
        <v>2492</v>
      </c>
      <c r="U36" s="747"/>
      <c r="V36" s="748"/>
      <c r="W36" s="192"/>
      <c r="X36" s="192"/>
      <c r="Y36" s="90"/>
      <c r="Z36" s="90"/>
      <c r="AA36" s="90"/>
      <c r="AB36" s="86"/>
      <c r="AC36" s="55"/>
      <c r="AD36" s="13"/>
      <c r="AP36" s="55"/>
    </row>
    <row r="37" spans="2:42" x14ac:dyDescent="0.25">
      <c r="B37" s="189" t="s">
        <v>1592</v>
      </c>
      <c r="C37" s="142"/>
      <c r="D37" s="137"/>
      <c r="E37" s="137"/>
      <c r="F37" s="142"/>
      <c r="G37" s="142"/>
      <c r="H37" s="142"/>
      <c r="I37" s="151"/>
      <c r="J37" s="142"/>
      <c r="K37" s="142"/>
      <c r="L37" s="142"/>
      <c r="M37" s="149"/>
      <c r="N37" s="142"/>
      <c r="O37" s="142"/>
      <c r="P37" s="142"/>
      <c r="Q37" s="142"/>
      <c r="R37" s="176"/>
      <c r="S37" s="194"/>
      <c r="T37" s="192"/>
      <c r="U37" s="192"/>
      <c r="V37" s="192"/>
      <c r="W37" s="192"/>
      <c r="X37" s="192"/>
      <c r="Y37" s="90"/>
      <c r="Z37" s="90"/>
      <c r="AA37" s="90"/>
      <c r="AB37" s="86"/>
      <c r="AC37" s="55"/>
    </row>
    <row r="38" spans="2:42" x14ac:dyDescent="0.25">
      <c r="B38" s="142">
        <f>Eingabe!P163</f>
        <v>0</v>
      </c>
      <c r="C38" s="142"/>
      <c r="D38" s="142"/>
      <c r="E38" s="142"/>
      <c r="F38" s="142"/>
      <c r="G38" s="142"/>
      <c r="H38" s="142"/>
      <c r="I38" s="151"/>
      <c r="J38" s="142"/>
      <c r="K38" s="142"/>
      <c r="L38" s="142"/>
      <c r="M38" s="149"/>
      <c r="N38" s="142"/>
      <c r="O38" s="142"/>
      <c r="P38" s="142"/>
      <c r="Q38" s="142"/>
      <c r="R38" s="176"/>
      <c r="S38" s="194"/>
      <c r="T38" s="142" t="s">
        <v>2480</v>
      </c>
      <c r="U38" s="142"/>
      <c r="V38" s="142"/>
      <c r="W38" s="142"/>
      <c r="X38" s="142"/>
      <c r="Y38" s="86"/>
      <c r="Z38" s="86"/>
      <c r="AA38" s="86"/>
      <c r="AB38" s="86"/>
      <c r="AC38" s="55"/>
    </row>
    <row r="39" spans="2:42" x14ac:dyDescent="0.25">
      <c r="B39" s="137"/>
      <c r="C39" s="186"/>
      <c r="D39" s="186"/>
      <c r="E39" s="186"/>
      <c r="F39" s="186"/>
      <c r="G39" s="187"/>
      <c r="H39" s="188"/>
      <c r="I39" s="185"/>
      <c r="J39" s="142"/>
      <c r="K39" s="142"/>
      <c r="L39" s="142"/>
      <c r="M39" s="149"/>
      <c r="N39" s="142"/>
      <c r="O39" s="142"/>
      <c r="P39" s="142"/>
      <c r="Q39" s="142"/>
      <c r="R39" s="176"/>
      <c r="S39" s="194"/>
      <c r="T39" s="743" t="s">
        <v>2493</v>
      </c>
      <c r="U39" s="744"/>
      <c r="V39" s="744"/>
      <c r="W39" s="745"/>
      <c r="X39" s="192"/>
      <c r="Y39" s="90"/>
      <c r="Z39" s="90"/>
      <c r="AA39" s="90"/>
      <c r="AB39" s="86"/>
      <c r="AC39" s="55"/>
    </row>
    <row r="40" spans="2:42" ht="5.0999999999999996" customHeight="1" x14ac:dyDescent="0.25">
      <c r="B40" s="174"/>
      <c r="C40" s="174"/>
      <c r="D40" s="174"/>
      <c r="E40" s="174"/>
      <c r="F40" s="174"/>
      <c r="G40" s="174"/>
      <c r="H40" s="174"/>
      <c r="I40" s="174"/>
      <c r="J40" s="174"/>
      <c r="K40" s="174"/>
      <c r="L40" s="174"/>
      <c r="M40" s="191"/>
      <c r="N40" s="190"/>
      <c r="O40" s="126"/>
      <c r="P40" s="174"/>
      <c r="Q40" s="174"/>
      <c r="R40" s="176"/>
      <c r="S40" s="194"/>
      <c r="T40" s="193"/>
      <c r="U40" s="192"/>
      <c r="V40" s="192"/>
      <c r="W40" s="192"/>
      <c r="X40" s="192"/>
      <c r="Y40" s="90"/>
      <c r="Z40" s="90"/>
      <c r="AA40" s="90"/>
      <c r="AB40" s="86"/>
      <c r="AC40" s="55"/>
    </row>
    <row r="41" spans="2:42" ht="13.75" customHeight="1" x14ac:dyDescent="0.5">
      <c r="B41" s="157" t="s">
        <v>2087</v>
      </c>
      <c r="C41" s="147"/>
      <c r="D41" s="147"/>
      <c r="E41" s="147"/>
      <c r="F41" s="147"/>
      <c r="G41" s="159"/>
      <c r="H41" s="159"/>
      <c r="I41" s="158"/>
      <c r="J41" s="196" t="s">
        <v>2485</v>
      </c>
      <c r="K41" s="142"/>
      <c r="L41" s="142"/>
      <c r="M41" s="149"/>
      <c r="N41" s="142"/>
      <c r="O41" s="142"/>
      <c r="P41" s="142"/>
      <c r="Q41" s="142"/>
      <c r="R41" s="176"/>
      <c r="S41" s="194"/>
      <c r="T41" s="177"/>
      <c r="U41" s="177"/>
      <c r="V41" s="177"/>
      <c r="W41" s="177"/>
      <c r="X41" s="177"/>
      <c r="Y41" s="91"/>
      <c r="Z41" s="91"/>
      <c r="AA41" s="91"/>
      <c r="AB41" s="86"/>
      <c r="AC41" s="55"/>
      <c r="AG41" s="93"/>
    </row>
    <row r="42" spans="2:42" x14ac:dyDescent="0.25">
      <c r="B42" s="137"/>
      <c r="C42" s="737" t="s">
        <v>2082</v>
      </c>
      <c r="D42" s="738"/>
      <c r="E42" s="738" t="s">
        <v>800</v>
      </c>
      <c r="F42" s="738"/>
      <c r="G42" s="738" t="s">
        <v>797</v>
      </c>
      <c r="H42" s="738"/>
      <c r="I42" s="151"/>
      <c r="J42" s="177"/>
      <c r="K42" s="142"/>
      <c r="L42" s="142"/>
      <c r="M42" s="149"/>
      <c r="N42" s="142"/>
      <c r="O42" s="142"/>
      <c r="P42" s="142"/>
      <c r="Q42" s="142"/>
      <c r="R42" s="176"/>
      <c r="S42" s="15"/>
      <c r="T42" s="57"/>
      <c r="U42" s="57"/>
      <c r="V42" s="57"/>
      <c r="W42" s="57"/>
      <c r="X42" s="57"/>
      <c r="Y42" s="57"/>
      <c r="Z42" s="57"/>
      <c r="AA42" s="57"/>
      <c r="AB42" s="55"/>
      <c r="AC42" s="55"/>
      <c r="AG42" s="92"/>
    </row>
    <row r="43" spans="2:42" x14ac:dyDescent="0.25">
      <c r="B43" s="137"/>
      <c r="C43" s="153" t="s">
        <v>1975</v>
      </c>
      <c r="D43" s="153" t="s">
        <v>1975</v>
      </c>
      <c r="E43" s="155" t="s">
        <v>799</v>
      </c>
      <c r="F43" s="178"/>
      <c r="G43" s="154" t="s">
        <v>799</v>
      </c>
      <c r="H43" s="154" t="s">
        <v>798</v>
      </c>
      <c r="I43" s="179"/>
      <c r="J43" s="142"/>
      <c r="K43" s="142"/>
      <c r="L43" s="142"/>
      <c r="M43" s="180"/>
      <c r="N43" s="142"/>
      <c r="O43" s="142"/>
      <c r="P43" s="142"/>
      <c r="Q43" s="142"/>
      <c r="R43" s="176"/>
      <c r="AC43" s="55"/>
      <c r="AG43" s="94"/>
    </row>
    <row r="44" spans="2:42" x14ac:dyDescent="0.25">
      <c r="B44" s="137"/>
      <c r="C44" s="181" t="s">
        <v>1775</v>
      </c>
      <c r="D44" s="152" t="s">
        <v>2084</v>
      </c>
      <c r="E44" s="152" t="s">
        <v>801</v>
      </c>
      <c r="F44" s="152" t="s">
        <v>801</v>
      </c>
      <c r="G44" s="182" t="e">
        <f>$G$8</f>
        <v>#REF!</v>
      </c>
      <c r="H44" s="154" t="s">
        <v>801</v>
      </c>
      <c r="I44" s="179"/>
      <c r="J44" s="142"/>
      <c r="K44" s="142"/>
      <c r="L44" s="142"/>
      <c r="M44" s="180"/>
      <c r="N44" s="142"/>
      <c r="O44" s="142"/>
      <c r="P44" s="142"/>
      <c r="Q44" s="142"/>
      <c r="R44" s="176"/>
      <c r="AC44" s="55"/>
      <c r="AG44" s="92"/>
    </row>
    <row r="45" spans="2:42" x14ac:dyDescent="0.25">
      <c r="B45" s="137"/>
      <c r="C45" s="152">
        <v>4</v>
      </c>
      <c r="D45" s="152" t="s">
        <v>2084</v>
      </c>
      <c r="E45" s="152" t="s">
        <v>801</v>
      </c>
      <c r="F45" s="152" t="s">
        <v>801</v>
      </c>
      <c r="G45" s="182" t="e">
        <f>$G$8</f>
        <v>#REF!</v>
      </c>
      <c r="H45" s="152" t="s">
        <v>801</v>
      </c>
      <c r="I45" s="179"/>
      <c r="J45" s="142"/>
      <c r="K45" s="142" t="s">
        <v>266</v>
      </c>
      <c r="L45" s="142"/>
      <c r="M45" s="180"/>
      <c r="N45" s="142"/>
      <c r="O45" s="142"/>
      <c r="P45" s="142"/>
      <c r="Q45" s="142"/>
      <c r="R45" s="176"/>
      <c r="AC45" s="55"/>
      <c r="AG45" s="94"/>
    </row>
    <row r="46" spans="2:42" x14ac:dyDescent="0.25">
      <c r="B46" s="137"/>
      <c r="C46" s="152">
        <v>5</v>
      </c>
      <c r="D46" s="152" t="s">
        <v>2084</v>
      </c>
      <c r="E46" s="152" t="s">
        <v>801</v>
      </c>
      <c r="F46" s="152" t="s">
        <v>801</v>
      </c>
      <c r="G46" s="182" t="e">
        <f>$G$8</f>
        <v>#REF!</v>
      </c>
      <c r="H46" s="152" t="s">
        <v>801</v>
      </c>
      <c r="I46" s="183"/>
      <c r="J46" s="138"/>
      <c r="K46" s="739" t="s">
        <v>2225</v>
      </c>
      <c r="L46" s="740"/>
      <c r="M46" s="740"/>
      <c r="N46" s="740"/>
      <c r="O46" s="740"/>
      <c r="P46" s="741"/>
      <c r="Q46" s="142"/>
      <c r="R46" s="176"/>
      <c r="AC46" s="55"/>
      <c r="AG46" s="92"/>
    </row>
    <row r="47" spans="2:42" x14ac:dyDescent="0.25">
      <c r="B47" s="137"/>
      <c r="C47" s="152" t="s">
        <v>2478</v>
      </c>
      <c r="D47" s="152" t="s">
        <v>2084</v>
      </c>
      <c r="E47" s="152" t="s">
        <v>801</v>
      </c>
      <c r="F47" s="152" t="s">
        <v>801</v>
      </c>
      <c r="G47" s="182" t="e">
        <f>$G$11</f>
        <v>#REF!</v>
      </c>
      <c r="H47" s="184" t="e">
        <f>$H$11</f>
        <v>#REF!</v>
      </c>
      <c r="I47" s="185"/>
      <c r="J47" s="142"/>
      <c r="K47" s="142"/>
      <c r="L47" s="142"/>
      <c r="M47" s="149"/>
      <c r="N47" s="142"/>
      <c r="O47" s="142"/>
      <c r="P47" s="142"/>
      <c r="Q47" s="142"/>
      <c r="R47" s="176"/>
      <c r="AC47" s="55"/>
      <c r="AG47" s="92"/>
    </row>
    <row r="48" spans="2:42" x14ac:dyDescent="0.25">
      <c r="B48" s="137"/>
      <c r="C48" s="186"/>
      <c r="D48" s="186"/>
      <c r="E48" s="186"/>
      <c r="F48" s="186"/>
      <c r="G48" s="187"/>
      <c r="H48" s="188"/>
      <c r="I48" s="185"/>
      <c r="J48" s="142"/>
      <c r="K48" s="142"/>
      <c r="L48" s="142"/>
      <c r="M48" s="149"/>
      <c r="N48" s="142"/>
      <c r="O48" s="142"/>
      <c r="P48" s="142"/>
      <c r="Q48" s="142"/>
      <c r="R48" s="176"/>
      <c r="AC48" s="55"/>
      <c r="AG48" s="94"/>
    </row>
    <row r="49" spans="2:33" x14ac:dyDescent="0.25">
      <c r="B49" s="189" t="s">
        <v>1592</v>
      </c>
      <c r="C49" s="142"/>
      <c r="D49" s="137"/>
      <c r="E49" s="137"/>
      <c r="F49" s="142"/>
      <c r="G49" s="142"/>
      <c r="H49" s="142"/>
      <c r="I49" s="151"/>
      <c r="J49" s="142"/>
      <c r="K49" s="142"/>
      <c r="L49" s="142"/>
      <c r="M49" s="149"/>
      <c r="N49" s="142"/>
      <c r="O49" s="142"/>
      <c r="P49" s="142"/>
      <c r="Q49" s="142"/>
      <c r="R49" s="176"/>
      <c r="AC49" s="55"/>
      <c r="AG49" s="92"/>
    </row>
    <row r="50" spans="2:33" x14ac:dyDescent="0.25">
      <c r="B50" s="142" t="s">
        <v>2262</v>
      </c>
      <c r="C50" s="142"/>
      <c r="D50" s="142"/>
      <c r="E50" s="142"/>
      <c r="F50" s="142"/>
      <c r="G50" s="142"/>
      <c r="H50" s="142"/>
      <c r="I50" s="151"/>
      <c r="J50" s="142"/>
      <c r="K50" s="142"/>
      <c r="L50" s="142"/>
      <c r="M50" s="149"/>
      <c r="N50" s="142"/>
      <c r="O50" s="142"/>
      <c r="P50" s="142"/>
      <c r="Q50" s="142"/>
      <c r="R50" s="176"/>
      <c r="AC50" s="55"/>
      <c r="AG50" s="92"/>
    </row>
    <row r="51" spans="2:33" x14ac:dyDescent="0.25">
      <c r="B51" s="137"/>
      <c r="C51" s="186"/>
      <c r="D51" s="186"/>
      <c r="E51" s="186"/>
      <c r="F51" s="186"/>
      <c r="G51" s="187"/>
      <c r="H51" s="188"/>
      <c r="I51" s="185"/>
      <c r="J51" s="142"/>
      <c r="K51" s="142"/>
      <c r="L51" s="142"/>
      <c r="M51" s="149"/>
      <c r="N51" s="142"/>
      <c r="O51" s="142"/>
      <c r="P51" s="142"/>
      <c r="Q51" s="142"/>
      <c r="R51" s="176"/>
      <c r="AC51" s="55"/>
      <c r="AG51" s="94"/>
    </row>
    <row r="52" spans="2:33" ht="5.0999999999999996" customHeight="1" x14ac:dyDescent="0.25">
      <c r="B52" s="126"/>
      <c r="C52" s="126"/>
      <c r="D52" s="126"/>
      <c r="E52" s="126"/>
      <c r="F52" s="126"/>
      <c r="G52" s="126"/>
      <c r="H52" s="126"/>
      <c r="I52" s="126"/>
      <c r="J52" s="174"/>
      <c r="K52" s="174"/>
      <c r="L52" s="174"/>
      <c r="M52" s="175"/>
      <c r="N52" s="174"/>
      <c r="O52" s="126"/>
      <c r="P52" s="126"/>
      <c r="Q52" s="126"/>
      <c r="R52" s="176"/>
      <c r="AC52" s="55"/>
      <c r="AG52" s="92"/>
    </row>
    <row r="53" spans="2:33" x14ac:dyDescent="0.25">
      <c r="B53" s="157" t="s">
        <v>33</v>
      </c>
      <c r="C53" s="147"/>
      <c r="D53" s="147"/>
      <c r="E53" s="147"/>
      <c r="F53" s="147"/>
      <c r="G53" s="159"/>
      <c r="H53" s="159"/>
      <c r="I53" s="158"/>
      <c r="J53" s="196" t="s">
        <v>2485</v>
      </c>
      <c r="K53" s="142"/>
      <c r="L53" s="142"/>
      <c r="M53" s="149"/>
      <c r="N53" s="142"/>
      <c r="O53" s="142"/>
      <c r="P53" s="142"/>
      <c r="Q53" s="142"/>
      <c r="R53" s="176"/>
      <c r="AC53" s="55"/>
      <c r="AG53" s="92"/>
    </row>
    <row r="54" spans="2:33" x14ac:dyDescent="0.25">
      <c r="B54" s="137"/>
      <c r="C54" s="737" t="s">
        <v>2082</v>
      </c>
      <c r="D54" s="738"/>
      <c r="E54" s="738" t="s">
        <v>800</v>
      </c>
      <c r="F54" s="738"/>
      <c r="G54" s="738" t="s">
        <v>797</v>
      </c>
      <c r="H54" s="738"/>
      <c r="I54" s="151"/>
      <c r="J54" s="177"/>
      <c r="K54" s="142"/>
      <c r="L54" s="142"/>
      <c r="M54" s="149"/>
      <c r="N54" s="142"/>
      <c r="O54" s="142"/>
      <c r="P54" s="142"/>
      <c r="Q54" s="142"/>
      <c r="R54" s="176"/>
      <c r="AC54" s="55"/>
      <c r="AG54" s="92"/>
    </row>
    <row r="55" spans="2:33" x14ac:dyDescent="0.25">
      <c r="B55" s="137"/>
      <c r="C55" s="153" t="s">
        <v>1975</v>
      </c>
      <c r="D55" s="153" t="s">
        <v>1975</v>
      </c>
      <c r="E55" s="155" t="s">
        <v>799</v>
      </c>
      <c r="F55" s="178"/>
      <c r="G55" s="154" t="s">
        <v>799</v>
      </c>
      <c r="H55" s="154" t="s">
        <v>798</v>
      </c>
      <c r="I55" s="179"/>
      <c r="J55" s="142"/>
      <c r="K55" s="142"/>
      <c r="L55" s="142"/>
      <c r="M55" s="180"/>
      <c r="N55" s="142"/>
      <c r="O55" s="142"/>
      <c r="P55" s="142"/>
      <c r="Q55" s="142"/>
      <c r="R55" s="176"/>
      <c r="AG55" s="92"/>
    </row>
    <row r="56" spans="2:33" x14ac:dyDescent="0.25">
      <c r="B56" s="137"/>
      <c r="C56" s="181" t="s">
        <v>1775</v>
      </c>
      <c r="D56" s="152" t="s">
        <v>2084</v>
      </c>
      <c r="E56" s="152" t="e">
        <f>IF(Eingabe!#REF!&lt;900,"-",Eingabe!W191)</f>
        <v>#REF!</v>
      </c>
      <c r="F56" s="202" t="s">
        <v>2083</v>
      </c>
      <c r="G56" s="182" t="e">
        <f>$G$8</f>
        <v>#REF!</v>
      </c>
      <c r="H56" s="154" t="s">
        <v>801</v>
      </c>
      <c r="I56" s="179"/>
      <c r="J56" s="142"/>
      <c r="K56" s="142"/>
      <c r="L56" s="142"/>
      <c r="M56" s="180"/>
      <c r="N56" s="142"/>
      <c r="O56" s="142"/>
      <c r="P56" s="142"/>
      <c r="Q56" s="142"/>
      <c r="R56" s="176"/>
      <c r="AG56" s="92"/>
    </row>
    <row r="57" spans="2:33" x14ac:dyDescent="0.25">
      <c r="B57" s="137"/>
      <c r="C57" s="152">
        <v>4</v>
      </c>
      <c r="D57" s="152" t="s">
        <v>2084</v>
      </c>
      <c r="E57" s="152" t="s">
        <v>801</v>
      </c>
      <c r="F57" s="152" t="s">
        <v>801</v>
      </c>
      <c r="G57" s="182" t="e">
        <f>$G$8</f>
        <v>#REF!</v>
      </c>
      <c r="H57" s="152" t="s">
        <v>801</v>
      </c>
      <c r="I57" s="179"/>
      <c r="J57" s="142"/>
      <c r="K57" s="142" t="s">
        <v>266</v>
      </c>
      <c r="L57" s="142"/>
      <c r="M57" s="180"/>
      <c r="N57" s="142"/>
      <c r="O57" s="142"/>
      <c r="P57" s="142"/>
      <c r="Q57" s="142"/>
      <c r="R57" s="176"/>
      <c r="AG57" s="92"/>
    </row>
    <row r="58" spans="2:33" x14ac:dyDescent="0.25">
      <c r="B58" s="137"/>
      <c r="C58" s="152">
        <v>5</v>
      </c>
      <c r="D58" s="152" t="s">
        <v>2084</v>
      </c>
      <c r="E58" s="152" t="s">
        <v>801</v>
      </c>
      <c r="F58" s="152" t="s">
        <v>801</v>
      </c>
      <c r="G58" s="182" t="e">
        <f>$G$8</f>
        <v>#REF!</v>
      </c>
      <c r="H58" s="152" t="s">
        <v>801</v>
      </c>
      <c r="I58" s="183"/>
      <c r="J58" s="138"/>
      <c r="K58" s="739" t="s">
        <v>2479</v>
      </c>
      <c r="L58" s="740"/>
      <c r="M58" s="740"/>
      <c r="N58" s="740"/>
      <c r="O58" s="740"/>
      <c r="P58" s="741"/>
      <c r="Q58" s="142"/>
      <c r="R58" s="176"/>
      <c r="AG58" s="95"/>
    </row>
    <row r="59" spans="2:33" x14ac:dyDescent="0.25">
      <c r="B59" s="137"/>
      <c r="C59" s="152" t="s">
        <v>2478</v>
      </c>
      <c r="D59" s="152" t="s">
        <v>2084</v>
      </c>
      <c r="E59" s="152" t="s">
        <v>801</v>
      </c>
      <c r="F59" s="152" t="s">
        <v>801</v>
      </c>
      <c r="G59" s="182" t="e">
        <f>$G$11</f>
        <v>#REF!</v>
      </c>
      <c r="H59" s="184" t="e">
        <f>$H$11</f>
        <v>#REF!</v>
      </c>
      <c r="I59" s="185"/>
      <c r="J59" s="142" t="s">
        <v>1773</v>
      </c>
      <c r="K59" s="142"/>
      <c r="L59" s="142"/>
      <c r="M59" s="149"/>
      <c r="N59" s="142"/>
      <c r="O59" s="142"/>
      <c r="P59" s="142"/>
      <c r="Q59" s="142"/>
      <c r="R59" s="176"/>
      <c r="AG59" s="92"/>
    </row>
    <row r="60" spans="2:33" x14ac:dyDescent="0.25">
      <c r="B60" s="137"/>
      <c r="C60" s="186"/>
      <c r="D60" s="186"/>
      <c r="E60" s="186"/>
      <c r="F60" s="186"/>
      <c r="G60" s="187"/>
      <c r="H60" s="188"/>
      <c r="I60" s="185"/>
      <c r="J60" s="142" t="s">
        <v>2461</v>
      </c>
      <c r="K60" s="142"/>
      <c r="L60" s="142"/>
      <c r="M60" s="149"/>
      <c r="N60" s="142"/>
      <c r="O60" s="142"/>
      <c r="P60" s="142"/>
      <c r="Q60" s="142"/>
      <c r="R60" s="176"/>
      <c r="AG60" s="95"/>
    </row>
    <row r="61" spans="2:33" x14ac:dyDescent="0.25">
      <c r="B61" s="189" t="s">
        <v>1592</v>
      </c>
      <c r="C61" s="142"/>
      <c r="D61" s="137"/>
      <c r="E61" s="137"/>
      <c r="F61" s="142"/>
      <c r="G61" s="142"/>
      <c r="H61" s="142"/>
      <c r="I61" s="151"/>
      <c r="J61" s="142" t="s">
        <v>267</v>
      </c>
      <c r="K61" s="142"/>
      <c r="L61" s="142"/>
      <c r="M61" s="149"/>
      <c r="N61" s="142"/>
      <c r="O61" s="142"/>
      <c r="P61" s="142"/>
      <c r="Q61" s="142"/>
      <c r="R61" s="176"/>
      <c r="AG61" s="92"/>
    </row>
    <row r="62" spans="2:33" x14ac:dyDescent="0.25">
      <c r="B62" s="142">
        <f>Eingabe!P165</f>
        <v>0</v>
      </c>
      <c r="C62" s="142"/>
      <c r="D62" s="142"/>
      <c r="E62" s="142"/>
      <c r="F62" s="142"/>
      <c r="G62" s="142"/>
      <c r="H62" s="142"/>
      <c r="I62" s="151"/>
      <c r="J62" s="142" t="s">
        <v>268</v>
      </c>
      <c r="K62" s="142"/>
      <c r="L62" s="142"/>
      <c r="M62" s="149"/>
      <c r="N62" s="142"/>
      <c r="O62" s="142"/>
      <c r="P62" s="142"/>
      <c r="Q62" s="142"/>
      <c r="R62" s="176"/>
      <c r="AG62" s="94"/>
    </row>
    <row r="63" spans="2:33" x14ac:dyDescent="0.25">
      <c r="B63" s="137"/>
      <c r="C63" s="186"/>
      <c r="D63" s="186"/>
      <c r="E63" s="186"/>
      <c r="F63" s="186"/>
      <c r="G63" s="187"/>
      <c r="H63" s="188"/>
      <c r="I63" s="185"/>
      <c r="J63" s="142" t="s">
        <v>2462</v>
      </c>
      <c r="K63" s="142"/>
      <c r="L63" s="142"/>
      <c r="M63" s="149"/>
      <c r="N63" s="142"/>
      <c r="O63" s="142"/>
      <c r="P63" s="142"/>
      <c r="Q63" s="142"/>
      <c r="R63" s="176"/>
      <c r="AG63" s="92"/>
    </row>
    <row r="64" spans="2:33" ht="5.0999999999999996" customHeight="1" x14ac:dyDescent="0.25">
      <c r="B64" s="174"/>
      <c r="C64" s="174"/>
      <c r="D64" s="174"/>
      <c r="E64" s="174"/>
      <c r="F64" s="174"/>
      <c r="G64" s="174"/>
      <c r="H64" s="174"/>
      <c r="I64" s="174"/>
      <c r="J64" s="174"/>
      <c r="K64" s="174"/>
      <c r="L64" s="174"/>
      <c r="M64" s="175"/>
      <c r="N64" s="174"/>
      <c r="O64" s="174"/>
      <c r="P64" s="174"/>
      <c r="Q64" s="174"/>
      <c r="R64" s="176"/>
      <c r="AG64" s="92"/>
    </row>
    <row r="65" spans="2:33" ht="16.3" x14ac:dyDescent="0.3">
      <c r="B65" s="173" t="s">
        <v>2326</v>
      </c>
      <c r="C65" s="174"/>
      <c r="D65" s="174"/>
      <c r="E65" s="174"/>
      <c r="F65" s="174"/>
      <c r="G65" s="174"/>
      <c r="H65" s="174"/>
      <c r="I65" s="174"/>
      <c r="J65" s="173" t="s">
        <v>1998</v>
      </c>
      <c r="K65" s="174"/>
      <c r="L65" s="174"/>
      <c r="M65" s="175"/>
      <c r="N65" s="174"/>
      <c r="O65" s="174"/>
      <c r="P65" s="174"/>
      <c r="Q65" s="174"/>
      <c r="R65" s="176"/>
      <c r="AG65" s="94"/>
    </row>
    <row r="66" spans="2:33" ht="5.0999999999999996" customHeight="1" x14ac:dyDescent="0.25">
      <c r="B66" s="174"/>
      <c r="C66" s="174"/>
      <c r="D66" s="174"/>
      <c r="E66" s="174"/>
      <c r="F66" s="174"/>
      <c r="G66" s="174"/>
      <c r="H66" s="174"/>
      <c r="I66" s="174"/>
      <c r="J66" s="174"/>
      <c r="K66" s="174"/>
      <c r="L66" s="174"/>
      <c r="M66" s="175"/>
      <c r="N66" s="174"/>
      <c r="O66" s="174"/>
      <c r="P66" s="174"/>
      <c r="Q66" s="174"/>
      <c r="R66" s="176"/>
      <c r="AG66" s="92"/>
    </row>
    <row r="67" spans="2:33" x14ac:dyDescent="0.25">
      <c r="B67" s="157" t="s">
        <v>2088</v>
      </c>
      <c r="C67" s="147"/>
      <c r="D67" s="147"/>
      <c r="E67" s="147"/>
      <c r="F67" s="147"/>
      <c r="G67" s="159"/>
      <c r="H67" s="159"/>
      <c r="I67" s="158"/>
      <c r="J67" s="196" t="s">
        <v>2485</v>
      </c>
      <c r="K67" s="142"/>
      <c r="L67" s="142"/>
      <c r="M67" s="149"/>
      <c r="N67" s="142"/>
      <c r="O67" s="142"/>
      <c r="P67" s="142"/>
      <c r="Q67" s="142"/>
      <c r="R67" s="176"/>
      <c r="AG67" s="95"/>
    </row>
    <row r="68" spans="2:33" x14ac:dyDescent="0.25">
      <c r="B68" s="137"/>
      <c r="C68" s="737" t="s">
        <v>2082</v>
      </c>
      <c r="D68" s="738"/>
      <c r="E68" s="738" t="s">
        <v>800</v>
      </c>
      <c r="F68" s="738"/>
      <c r="G68" s="738" t="s">
        <v>797</v>
      </c>
      <c r="H68" s="738"/>
      <c r="I68" s="151"/>
      <c r="J68" s="177"/>
      <c r="K68" s="142"/>
      <c r="L68" s="142"/>
      <c r="M68" s="149"/>
      <c r="N68" s="142"/>
      <c r="O68" s="142"/>
      <c r="P68" s="142"/>
      <c r="Q68" s="142"/>
      <c r="R68" s="176"/>
      <c r="AG68" s="92"/>
    </row>
    <row r="69" spans="2:33" x14ac:dyDescent="0.25">
      <c r="B69" s="137"/>
      <c r="C69" s="153" t="s">
        <v>1975</v>
      </c>
      <c r="D69" s="153" t="s">
        <v>1975</v>
      </c>
      <c r="E69" s="155" t="s">
        <v>799</v>
      </c>
      <c r="F69" s="178"/>
      <c r="G69" s="154" t="s">
        <v>799</v>
      </c>
      <c r="H69" s="154" t="s">
        <v>798</v>
      </c>
      <c r="I69" s="179"/>
      <c r="J69" s="142"/>
      <c r="K69" s="142"/>
      <c r="L69" s="142"/>
      <c r="M69" s="180"/>
      <c r="N69" s="142"/>
      <c r="O69" s="142"/>
      <c r="P69" s="142"/>
      <c r="Q69" s="142"/>
      <c r="R69" s="176"/>
      <c r="AG69" s="92"/>
    </row>
    <row r="70" spans="2:33" x14ac:dyDescent="0.25">
      <c r="B70" s="137"/>
      <c r="C70" s="181" t="s">
        <v>1775</v>
      </c>
      <c r="D70" s="152" t="s">
        <v>2084</v>
      </c>
      <c r="E70" s="152" t="e">
        <f>IF(OR(Eingabe!$AE$231&lt;2,Eingabe!#REF!&lt;900),"-",Eingabe!$AE$232)</f>
        <v>#REF!</v>
      </c>
      <c r="F70" s="152" t="e">
        <f>IF(E70="-","-","€ für "&amp;Eingabe!$AE$231&amp;"kWp")</f>
        <v>#REF!</v>
      </c>
      <c r="G70" s="182" t="e">
        <f>$G$8</f>
        <v>#REF!</v>
      </c>
      <c r="H70" s="154" t="s">
        <v>801</v>
      </c>
      <c r="I70" s="179"/>
      <c r="J70" s="142"/>
      <c r="K70" s="91"/>
      <c r="L70" s="142"/>
      <c r="M70" s="180"/>
      <c r="N70" s="142"/>
      <c r="O70" s="142"/>
      <c r="P70" s="142"/>
      <c r="Q70" s="142"/>
      <c r="R70" s="176"/>
      <c r="AG70" s="92"/>
    </row>
    <row r="71" spans="2:33" x14ac:dyDescent="0.25">
      <c r="B71" s="137"/>
      <c r="C71" s="152">
        <v>4</v>
      </c>
      <c r="D71" s="152" t="s">
        <v>2084</v>
      </c>
      <c r="E71" s="152" t="s">
        <v>801</v>
      </c>
      <c r="F71" s="152" t="s">
        <v>801</v>
      </c>
      <c r="G71" s="182" t="e">
        <f>$G$8</f>
        <v>#REF!</v>
      </c>
      <c r="H71" s="152" t="s">
        <v>801</v>
      </c>
      <c r="I71" s="179"/>
      <c r="J71" s="142"/>
      <c r="K71" s="142" t="s">
        <v>2489</v>
      </c>
      <c r="L71" s="142"/>
      <c r="M71" s="180"/>
      <c r="N71" s="142"/>
      <c r="O71" s="142"/>
      <c r="P71" s="142"/>
      <c r="Q71" s="142"/>
      <c r="R71" s="176"/>
      <c r="AG71" s="92"/>
    </row>
    <row r="72" spans="2:33" x14ac:dyDescent="0.25">
      <c r="B72" s="137"/>
      <c r="C72" s="152">
        <v>5</v>
      </c>
      <c r="D72" s="152" t="s">
        <v>2084</v>
      </c>
      <c r="E72" s="152" t="s">
        <v>801</v>
      </c>
      <c r="F72" s="152" t="s">
        <v>801</v>
      </c>
      <c r="G72" s="182" t="e">
        <f>$G$8</f>
        <v>#REF!</v>
      </c>
      <c r="H72" s="152" t="s">
        <v>801</v>
      </c>
      <c r="I72" s="183"/>
      <c r="J72" s="138"/>
      <c r="K72" s="739" t="s">
        <v>2472</v>
      </c>
      <c r="L72" s="740"/>
      <c r="M72" s="740"/>
      <c r="N72" s="740"/>
      <c r="O72" s="740"/>
      <c r="P72" s="741"/>
      <c r="Q72" s="142"/>
      <c r="R72" s="176"/>
      <c r="AG72" s="92"/>
    </row>
    <row r="73" spans="2:33" x14ac:dyDescent="0.25">
      <c r="B73" s="137"/>
      <c r="C73" s="152" t="s">
        <v>2478</v>
      </c>
      <c r="D73" s="152" t="s">
        <v>2084</v>
      </c>
      <c r="E73" s="152" t="s">
        <v>801</v>
      </c>
      <c r="F73" s="152" t="s">
        <v>801</v>
      </c>
      <c r="G73" s="182" t="e">
        <f>$G$11</f>
        <v>#REF!</v>
      </c>
      <c r="H73" s="184" t="e">
        <f>$H$11</f>
        <v>#REF!</v>
      </c>
      <c r="I73" s="185"/>
      <c r="J73" s="142"/>
      <c r="K73" s="91"/>
      <c r="L73" s="142"/>
      <c r="M73" s="149"/>
      <c r="N73" s="142"/>
      <c r="O73" s="142"/>
      <c r="P73" s="142"/>
      <c r="Q73" s="142"/>
      <c r="R73" s="176"/>
      <c r="AG73" s="92"/>
    </row>
    <row r="74" spans="2:33" ht="12.75" customHeight="1" x14ac:dyDescent="0.4">
      <c r="B74" s="137"/>
      <c r="C74" s="186"/>
      <c r="D74" s="186"/>
      <c r="E74" s="186"/>
      <c r="F74" s="186"/>
      <c r="G74" s="187"/>
      <c r="H74" s="188"/>
      <c r="I74" s="185"/>
      <c r="J74" s="142"/>
      <c r="K74" s="142" t="s">
        <v>2490</v>
      </c>
      <c r="L74" s="142"/>
      <c r="M74" s="149"/>
      <c r="N74" s="142"/>
      <c r="O74" s="142"/>
      <c r="P74" s="142"/>
      <c r="Q74" s="142"/>
      <c r="R74" s="176"/>
      <c r="AG74" s="96"/>
    </row>
    <row r="75" spans="2:33" x14ac:dyDescent="0.25">
      <c r="B75" s="189" t="s">
        <v>1592</v>
      </c>
      <c r="C75" s="142"/>
      <c r="D75" s="137"/>
      <c r="E75" s="137"/>
      <c r="F75" s="142"/>
      <c r="G75" s="142"/>
      <c r="H75" s="142"/>
      <c r="I75" s="151"/>
      <c r="J75" s="142"/>
      <c r="K75" s="739" t="s">
        <v>2488</v>
      </c>
      <c r="L75" s="740"/>
      <c r="M75" s="740"/>
      <c r="N75" s="740"/>
      <c r="O75" s="740"/>
      <c r="P75" s="741"/>
      <c r="Q75" s="142"/>
      <c r="R75" s="176"/>
      <c r="AG75" s="92"/>
    </row>
    <row r="76" spans="2:33" x14ac:dyDescent="0.25">
      <c r="B76" s="142">
        <f>Eingabe!P166</f>
        <v>0</v>
      </c>
      <c r="C76" s="142"/>
      <c r="D76" s="142"/>
      <c r="E76" s="142"/>
      <c r="F76" s="142"/>
      <c r="G76" s="142"/>
      <c r="H76" s="142"/>
      <c r="I76" s="151"/>
      <c r="J76" s="142"/>
      <c r="K76" s="142"/>
      <c r="L76" s="142"/>
      <c r="M76" s="149"/>
      <c r="N76" s="142"/>
      <c r="O76" s="142"/>
      <c r="P76" s="142"/>
      <c r="Q76" s="142"/>
      <c r="R76" s="176"/>
      <c r="AG76" s="92"/>
    </row>
    <row r="77" spans="2:33" x14ac:dyDescent="0.25">
      <c r="B77" s="137"/>
      <c r="C77" s="186"/>
      <c r="D77" s="186"/>
      <c r="E77" s="186"/>
      <c r="F77" s="186"/>
      <c r="G77" s="187"/>
      <c r="H77" s="188"/>
      <c r="I77" s="185"/>
      <c r="J77" s="142"/>
      <c r="K77" s="142"/>
      <c r="L77" s="142"/>
      <c r="M77" s="149"/>
      <c r="N77" s="142"/>
      <c r="O77" s="142"/>
      <c r="P77" s="142"/>
      <c r="Q77" s="142"/>
      <c r="R77" s="176"/>
      <c r="AG77" s="94"/>
    </row>
    <row r="78" spans="2:33" ht="5.0999999999999996" customHeight="1" x14ac:dyDescent="0.25">
      <c r="B78" s="126"/>
      <c r="C78" s="126"/>
      <c r="D78" s="126"/>
      <c r="E78" s="126"/>
      <c r="F78" s="126"/>
      <c r="G78" s="126"/>
      <c r="H78" s="126"/>
      <c r="I78" s="126"/>
      <c r="J78" s="174"/>
      <c r="K78" s="174"/>
      <c r="L78" s="174"/>
      <c r="M78" s="175"/>
      <c r="N78" s="174"/>
      <c r="O78" s="174"/>
      <c r="P78" s="174"/>
      <c r="Q78" s="174"/>
      <c r="R78" s="176"/>
      <c r="AG78" s="94"/>
    </row>
    <row r="79" spans="2:33" x14ac:dyDescent="0.25">
      <c r="B79" s="157" t="s">
        <v>34</v>
      </c>
      <c r="C79" s="147"/>
      <c r="D79" s="147"/>
      <c r="E79" s="147"/>
      <c r="F79" s="147"/>
      <c r="G79" s="159"/>
      <c r="H79" s="159"/>
      <c r="I79" s="158"/>
      <c r="J79" s="196" t="s">
        <v>2485</v>
      </c>
      <c r="K79" s="142"/>
      <c r="L79" s="142"/>
      <c r="M79" s="149"/>
      <c r="N79" s="142"/>
      <c r="O79" s="142"/>
      <c r="P79" s="142"/>
      <c r="Q79" s="142"/>
      <c r="R79" s="176"/>
      <c r="AG79" s="95"/>
    </row>
    <row r="80" spans="2:33" x14ac:dyDescent="0.25">
      <c r="B80" s="137"/>
      <c r="C80" s="737" t="s">
        <v>2082</v>
      </c>
      <c r="D80" s="738"/>
      <c r="E80" s="738" t="s">
        <v>800</v>
      </c>
      <c r="F80" s="738"/>
      <c r="G80" s="738" t="s">
        <v>797</v>
      </c>
      <c r="H80" s="738"/>
      <c r="I80" s="151"/>
      <c r="J80" s="177"/>
      <c r="K80" s="142"/>
      <c r="L80" s="142"/>
      <c r="M80" s="149"/>
      <c r="N80" s="142"/>
      <c r="O80" s="142"/>
      <c r="P80" s="142"/>
      <c r="Q80" s="142"/>
      <c r="R80" s="176"/>
    </row>
    <row r="81" spans="2:18" x14ac:dyDescent="0.25">
      <c r="B81" s="137"/>
      <c r="C81" s="153" t="s">
        <v>1975</v>
      </c>
      <c r="D81" s="153" t="s">
        <v>1975</v>
      </c>
      <c r="E81" s="155" t="s">
        <v>799</v>
      </c>
      <c r="F81" s="178"/>
      <c r="G81" s="154" t="s">
        <v>799</v>
      </c>
      <c r="H81" s="154" t="s">
        <v>798</v>
      </c>
      <c r="I81" s="179"/>
      <c r="J81" s="142"/>
      <c r="K81" s="142"/>
      <c r="L81" s="142"/>
      <c r="M81" s="180"/>
      <c r="N81" s="142"/>
      <c r="O81" s="142"/>
      <c r="P81" s="142"/>
      <c r="Q81" s="142"/>
      <c r="R81" s="176"/>
    </row>
    <row r="82" spans="2:18" x14ac:dyDescent="0.25">
      <c r="B82" s="137"/>
      <c r="C82" s="181" t="s">
        <v>1775</v>
      </c>
      <c r="D82" s="152" t="s">
        <v>2084</v>
      </c>
      <c r="E82" s="152" t="s">
        <v>801</v>
      </c>
      <c r="F82" s="152" t="s">
        <v>2083</v>
      </c>
      <c r="G82" s="182" t="e">
        <f>$G$8</f>
        <v>#REF!</v>
      </c>
      <c r="H82" s="154" t="s">
        <v>801</v>
      </c>
      <c r="I82" s="179"/>
      <c r="J82" s="142"/>
      <c r="K82" s="142"/>
      <c r="L82" s="142"/>
      <c r="M82" s="180"/>
      <c r="N82" s="142"/>
      <c r="O82" s="142"/>
      <c r="P82" s="142"/>
      <c r="Q82" s="142"/>
      <c r="R82" s="176"/>
    </row>
    <row r="83" spans="2:18" x14ac:dyDescent="0.25">
      <c r="B83" s="137"/>
      <c r="C83" s="152">
        <v>4</v>
      </c>
      <c r="D83" s="152" t="s">
        <v>2084</v>
      </c>
      <c r="E83" s="152" t="s">
        <v>801</v>
      </c>
      <c r="F83" s="152" t="s">
        <v>2083</v>
      </c>
      <c r="G83" s="182" t="e">
        <f>$G$8</f>
        <v>#REF!</v>
      </c>
      <c r="H83" s="152" t="s">
        <v>801</v>
      </c>
      <c r="I83" s="179"/>
      <c r="J83" s="142"/>
      <c r="K83" s="142" t="s">
        <v>266</v>
      </c>
      <c r="L83" s="142"/>
      <c r="M83" s="180"/>
      <c r="N83" s="142"/>
      <c r="O83" s="142"/>
      <c r="P83" s="142"/>
      <c r="Q83" s="142"/>
      <c r="R83" s="176"/>
    </row>
    <row r="84" spans="2:18" x14ac:dyDescent="0.25">
      <c r="B84" s="137"/>
      <c r="C84" s="152">
        <v>5</v>
      </c>
      <c r="D84" s="152" t="s">
        <v>2084</v>
      </c>
      <c r="E84" s="152" t="s">
        <v>801</v>
      </c>
      <c r="F84" s="152" t="s">
        <v>2083</v>
      </c>
      <c r="G84" s="182" t="e">
        <f>$G$8</f>
        <v>#REF!</v>
      </c>
      <c r="H84" s="152" t="s">
        <v>801</v>
      </c>
      <c r="I84" s="183"/>
      <c r="J84" s="138"/>
      <c r="K84" s="739" t="s">
        <v>2487</v>
      </c>
      <c r="L84" s="740"/>
      <c r="M84" s="740"/>
      <c r="N84" s="740"/>
      <c r="O84" s="740"/>
      <c r="P84" s="741"/>
      <c r="Q84" s="142"/>
      <c r="R84" s="176"/>
    </row>
    <row r="85" spans="2:18" x14ac:dyDescent="0.25">
      <c r="B85" s="137"/>
      <c r="C85" s="152" t="s">
        <v>2478</v>
      </c>
      <c r="D85" s="152" t="s">
        <v>2084</v>
      </c>
      <c r="E85" s="152" t="s">
        <v>801</v>
      </c>
      <c r="F85" s="152" t="s">
        <v>801</v>
      </c>
      <c r="G85" s="182" t="e">
        <f>$G$11</f>
        <v>#REF!</v>
      </c>
      <c r="H85" s="184" t="e">
        <f>$H$11</f>
        <v>#REF!</v>
      </c>
      <c r="I85" s="185"/>
      <c r="J85" s="142"/>
      <c r="K85" s="142"/>
      <c r="L85" s="142"/>
      <c r="M85" s="149"/>
      <c r="N85" s="142"/>
      <c r="O85" s="142"/>
      <c r="P85" s="142"/>
      <c r="Q85" s="142"/>
      <c r="R85" s="176"/>
    </row>
    <row r="86" spans="2:18" x14ac:dyDescent="0.25">
      <c r="B86" s="137"/>
      <c r="C86" s="186"/>
      <c r="D86" s="186"/>
      <c r="E86" s="186"/>
      <c r="F86" s="186"/>
      <c r="G86" s="187"/>
      <c r="H86" s="188"/>
      <c r="I86" s="185"/>
      <c r="J86" s="142"/>
      <c r="K86" s="142"/>
      <c r="L86" s="142"/>
      <c r="M86" s="149"/>
      <c r="N86" s="142"/>
      <c r="O86" s="142"/>
      <c r="P86" s="142"/>
      <c r="Q86" s="142"/>
      <c r="R86" s="176"/>
    </row>
    <row r="87" spans="2:18" x14ac:dyDescent="0.25">
      <c r="B87" s="189" t="s">
        <v>1592</v>
      </c>
      <c r="C87" s="142"/>
      <c r="D87" s="137"/>
      <c r="E87" s="137"/>
      <c r="F87" s="142"/>
      <c r="G87" s="142"/>
      <c r="H87" s="142"/>
      <c r="I87" s="151"/>
      <c r="J87" s="142"/>
      <c r="K87" s="142"/>
      <c r="L87" s="142"/>
      <c r="M87" s="149"/>
      <c r="N87" s="142"/>
      <c r="O87" s="142"/>
      <c r="P87" s="142"/>
      <c r="Q87" s="142"/>
      <c r="R87" s="176"/>
    </row>
    <row r="88" spans="2:18" x14ac:dyDescent="0.25">
      <c r="B88" s="142">
        <f>Eingabe!P167</f>
        <v>0</v>
      </c>
      <c r="C88" s="142"/>
      <c r="D88" s="142"/>
      <c r="E88" s="142"/>
      <c r="F88" s="142"/>
      <c r="G88" s="142"/>
      <c r="H88" s="142"/>
      <c r="I88" s="151"/>
      <c r="J88" s="142"/>
      <c r="K88" s="142"/>
      <c r="L88" s="142"/>
      <c r="M88" s="149"/>
      <c r="N88" s="142"/>
      <c r="O88" s="142"/>
      <c r="P88" s="142"/>
      <c r="Q88" s="142"/>
      <c r="R88" s="176"/>
    </row>
    <row r="89" spans="2:18" x14ac:dyDescent="0.25">
      <c r="B89" s="137"/>
      <c r="C89" s="186"/>
      <c r="D89" s="186"/>
      <c r="E89" s="186"/>
      <c r="F89" s="186"/>
      <c r="G89" s="187"/>
      <c r="H89" s="188"/>
      <c r="I89" s="185"/>
      <c r="J89" s="142"/>
      <c r="K89" s="142"/>
      <c r="L89" s="142"/>
      <c r="M89" s="149"/>
      <c r="N89" s="142"/>
      <c r="O89" s="142"/>
      <c r="P89" s="142"/>
      <c r="Q89" s="142"/>
      <c r="R89" s="176"/>
    </row>
    <row r="90" spans="2:18" ht="5.0999999999999996" customHeight="1" x14ac:dyDescent="0.25">
      <c r="B90" s="126"/>
      <c r="C90" s="126"/>
      <c r="D90" s="126"/>
      <c r="E90" s="126"/>
      <c r="F90" s="126"/>
      <c r="G90" s="126"/>
      <c r="H90" s="126"/>
      <c r="I90" s="126"/>
      <c r="J90" s="174"/>
      <c r="K90" s="174"/>
      <c r="L90" s="174"/>
      <c r="M90" s="175"/>
      <c r="N90" s="174"/>
      <c r="O90" s="174"/>
      <c r="P90" s="174"/>
      <c r="Q90" s="174"/>
      <c r="R90" s="176"/>
    </row>
    <row r="91" spans="2:18" x14ac:dyDescent="0.25">
      <c r="B91" s="157" t="s">
        <v>35</v>
      </c>
      <c r="C91" s="147"/>
      <c r="D91" s="147"/>
      <c r="E91" s="147"/>
      <c r="F91" s="147"/>
      <c r="G91" s="159"/>
      <c r="H91" s="159"/>
      <c r="I91" s="158"/>
      <c r="J91" s="196" t="s">
        <v>2491</v>
      </c>
      <c r="K91" s="142"/>
      <c r="L91" s="142"/>
      <c r="M91" s="149"/>
      <c r="N91" s="142"/>
      <c r="O91" s="142"/>
      <c r="P91" s="142"/>
      <c r="Q91" s="142"/>
      <c r="R91" s="176"/>
    </row>
    <row r="92" spans="2:18" x14ac:dyDescent="0.25">
      <c r="B92" s="137"/>
      <c r="C92" s="737" t="s">
        <v>2082</v>
      </c>
      <c r="D92" s="738"/>
      <c r="E92" s="738" t="s">
        <v>800</v>
      </c>
      <c r="F92" s="738"/>
      <c r="G92" s="738" t="s">
        <v>797</v>
      </c>
      <c r="H92" s="738"/>
      <c r="I92" s="151"/>
      <c r="J92" s="177"/>
      <c r="K92" s="142"/>
      <c r="L92" s="142"/>
      <c r="M92" s="149"/>
      <c r="N92" s="142"/>
      <c r="O92" s="142"/>
      <c r="P92" s="142"/>
      <c r="Q92" s="142"/>
      <c r="R92" s="176"/>
    </row>
    <row r="93" spans="2:18" x14ac:dyDescent="0.25">
      <c r="B93" s="137"/>
      <c r="C93" s="153" t="s">
        <v>1975</v>
      </c>
      <c r="D93" s="153" t="s">
        <v>1975</v>
      </c>
      <c r="E93" s="155" t="s">
        <v>799</v>
      </c>
      <c r="F93" s="178"/>
      <c r="G93" s="154" t="s">
        <v>799</v>
      </c>
      <c r="H93" s="154" t="s">
        <v>798</v>
      </c>
      <c r="I93" s="179"/>
      <c r="J93" s="142"/>
      <c r="K93" s="142"/>
      <c r="L93" s="142"/>
      <c r="M93" s="180"/>
      <c r="N93" s="142"/>
      <c r="O93" s="142"/>
      <c r="P93" s="142"/>
      <c r="Q93" s="142"/>
      <c r="R93" s="176"/>
    </row>
    <row r="94" spans="2:18" x14ac:dyDescent="0.25">
      <c r="B94" s="137"/>
      <c r="C94" s="181" t="s">
        <v>1775</v>
      </c>
      <c r="D94" s="152" t="s">
        <v>2084</v>
      </c>
      <c r="E94" s="152" t="s">
        <v>801</v>
      </c>
      <c r="F94" s="152" t="s">
        <v>2083</v>
      </c>
      <c r="G94" s="182" t="e">
        <f>$G$8</f>
        <v>#REF!</v>
      </c>
      <c r="H94" s="154" t="s">
        <v>801</v>
      </c>
      <c r="I94" s="179"/>
      <c r="J94" s="142"/>
      <c r="K94" s="142"/>
      <c r="L94" s="142"/>
      <c r="M94" s="180"/>
      <c r="N94" s="142"/>
      <c r="O94" s="142"/>
      <c r="P94" s="142"/>
      <c r="Q94" s="142"/>
      <c r="R94" s="176"/>
    </row>
    <row r="95" spans="2:18" x14ac:dyDescent="0.25">
      <c r="B95" s="137"/>
      <c r="C95" s="152">
        <v>4</v>
      </c>
      <c r="D95" s="152" t="s">
        <v>2084</v>
      </c>
      <c r="E95" s="152" t="s">
        <v>801</v>
      </c>
      <c r="F95" s="152" t="s">
        <v>2083</v>
      </c>
      <c r="G95" s="182" t="e">
        <f>$G$8</f>
        <v>#REF!</v>
      </c>
      <c r="H95" s="152" t="s">
        <v>801</v>
      </c>
      <c r="I95" s="179"/>
      <c r="J95" s="142"/>
      <c r="K95" s="142" t="s">
        <v>266</v>
      </c>
      <c r="L95" s="142"/>
      <c r="M95" s="180"/>
      <c r="N95" s="142"/>
      <c r="O95" s="142"/>
      <c r="P95" s="142"/>
      <c r="Q95" s="142"/>
      <c r="R95" s="176"/>
    </row>
    <row r="96" spans="2:18" x14ac:dyDescent="0.25">
      <c r="B96" s="137"/>
      <c r="C96" s="152">
        <v>5</v>
      </c>
      <c r="D96" s="152" t="s">
        <v>2084</v>
      </c>
      <c r="E96" s="152" t="s">
        <v>801</v>
      </c>
      <c r="F96" s="152" t="s">
        <v>2083</v>
      </c>
      <c r="G96" s="182" t="e">
        <f>$G$8</f>
        <v>#REF!</v>
      </c>
      <c r="H96" s="152" t="s">
        <v>801</v>
      </c>
      <c r="I96" s="183"/>
      <c r="J96" s="138"/>
      <c r="K96" s="739" t="s">
        <v>2482</v>
      </c>
      <c r="L96" s="740"/>
      <c r="M96" s="740"/>
      <c r="N96" s="740"/>
      <c r="O96" s="740"/>
      <c r="P96" s="741"/>
      <c r="Q96" s="142"/>
      <c r="R96" s="176"/>
    </row>
    <row r="97" spans="2:18" x14ac:dyDescent="0.25">
      <c r="B97" s="137"/>
      <c r="C97" s="152" t="s">
        <v>2478</v>
      </c>
      <c r="D97" s="152" t="s">
        <v>2084</v>
      </c>
      <c r="E97" s="152" t="s">
        <v>801</v>
      </c>
      <c r="F97" s="152" t="s">
        <v>801</v>
      </c>
      <c r="G97" s="182" t="e">
        <f>$G$11</f>
        <v>#REF!</v>
      </c>
      <c r="H97" s="184" t="e">
        <f>$H$11</f>
        <v>#REF!</v>
      </c>
      <c r="I97" s="185"/>
      <c r="J97" s="142"/>
      <c r="K97" s="142"/>
      <c r="L97" s="142"/>
      <c r="M97" s="149"/>
      <c r="N97" s="142"/>
      <c r="O97" s="142"/>
      <c r="P97" s="142"/>
      <c r="Q97" s="142"/>
      <c r="R97" s="176"/>
    </row>
    <row r="98" spans="2:18" x14ac:dyDescent="0.25">
      <c r="B98" s="137"/>
      <c r="C98" s="186"/>
      <c r="D98" s="186"/>
      <c r="E98" s="186"/>
      <c r="F98" s="186"/>
      <c r="G98" s="187"/>
      <c r="H98" s="188"/>
      <c r="I98" s="185"/>
      <c r="J98" s="142"/>
      <c r="K98" s="142"/>
      <c r="L98" s="142"/>
      <c r="M98" s="149"/>
      <c r="N98" s="142"/>
      <c r="O98" s="142"/>
      <c r="P98" s="142"/>
      <c r="Q98" s="142"/>
      <c r="R98" s="176"/>
    </row>
    <row r="99" spans="2:18" x14ac:dyDescent="0.25">
      <c r="B99" s="189" t="s">
        <v>1592</v>
      </c>
      <c r="C99" s="142"/>
      <c r="D99" s="137"/>
      <c r="E99" s="137"/>
      <c r="F99" s="142"/>
      <c r="G99" s="142"/>
      <c r="H99" s="142"/>
      <c r="I99" s="151"/>
      <c r="J99" s="142"/>
      <c r="K99" s="142"/>
      <c r="L99" s="142"/>
      <c r="M99" s="149"/>
      <c r="N99" s="142"/>
      <c r="O99" s="142"/>
      <c r="P99" s="142"/>
      <c r="Q99" s="142"/>
      <c r="R99" s="176"/>
    </row>
    <row r="100" spans="2:18" x14ac:dyDescent="0.25">
      <c r="B100" s="142">
        <f>Eingabe!P168</f>
        <v>0</v>
      </c>
      <c r="C100" s="142"/>
      <c r="D100" s="142"/>
      <c r="E100" s="142"/>
      <c r="F100" s="142"/>
      <c r="G100" s="142"/>
      <c r="H100" s="142"/>
      <c r="I100" s="151"/>
      <c r="J100" s="142"/>
      <c r="K100" s="142"/>
      <c r="L100" s="142"/>
      <c r="M100" s="149"/>
      <c r="N100" s="142"/>
      <c r="O100" s="142"/>
      <c r="P100" s="142"/>
      <c r="Q100" s="142"/>
      <c r="R100" s="176"/>
    </row>
    <row r="101" spans="2:18" x14ac:dyDescent="0.25">
      <c r="B101" s="137"/>
      <c r="C101" s="186"/>
      <c r="D101" s="186"/>
      <c r="E101" s="186"/>
      <c r="F101" s="186"/>
      <c r="G101" s="187"/>
      <c r="H101" s="188"/>
      <c r="I101" s="185"/>
      <c r="J101" s="142"/>
      <c r="K101" s="142"/>
      <c r="L101" s="142"/>
      <c r="M101" s="149"/>
      <c r="N101" s="142"/>
      <c r="O101" s="142"/>
      <c r="P101" s="142"/>
      <c r="Q101" s="142"/>
      <c r="R101" s="176"/>
    </row>
    <row r="102" spans="2:18" ht="5.0999999999999996" customHeight="1" x14ac:dyDescent="0.25">
      <c r="B102" s="174"/>
      <c r="C102" s="174"/>
      <c r="D102" s="174"/>
      <c r="E102" s="174"/>
      <c r="F102" s="174"/>
      <c r="G102" s="174"/>
      <c r="H102" s="174"/>
      <c r="I102" s="174"/>
      <c r="J102" s="174"/>
      <c r="K102" s="174"/>
      <c r="L102" s="174"/>
      <c r="M102" s="175"/>
      <c r="N102" s="174"/>
      <c r="O102" s="174"/>
      <c r="P102" s="174"/>
      <c r="Q102" s="174"/>
      <c r="R102" s="176"/>
    </row>
    <row r="103" spans="2:18" x14ac:dyDescent="0.25">
      <c r="B103" s="157" t="s">
        <v>2089</v>
      </c>
      <c r="C103" s="147"/>
      <c r="D103" s="147"/>
      <c r="E103" s="147"/>
      <c r="F103" s="147"/>
      <c r="G103" s="159"/>
      <c r="H103" s="159"/>
      <c r="I103" s="158"/>
      <c r="J103" s="196" t="s">
        <v>2485</v>
      </c>
      <c r="K103" s="142"/>
      <c r="L103" s="142"/>
      <c r="M103" s="149"/>
      <c r="N103" s="142"/>
      <c r="O103" s="142"/>
      <c r="P103" s="142"/>
      <c r="Q103" s="142"/>
      <c r="R103" s="176"/>
    </row>
    <row r="104" spans="2:18" x14ac:dyDescent="0.25">
      <c r="B104" s="137"/>
      <c r="C104" s="737" t="s">
        <v>2082</v>
      </c>
      <c r="D104" s="738"/>
      <c r="E104" s="738" t="s">
        <v>800</v>
      </c>
      <c r="F104" s="738"/>
      <c r="G104" s="738" t="s">
        <v>797</v>
      </c>
      <c r="H104" s="738"/>
      <c r="I104" s="151"/>
      <c r="J104" s="177"/>
      <c r="K104" s="142"/>
      <c r="L104" s="142"/>
      <c r="M104" s="149"/>
      <c r="N104" s="142"/>
      <c r="O104" s="142"/>
      <c r="P104" s="142"/>
      <c r="Q104" s="142"/>
      <c r="R104" s="176"/>
    </row>
    <row r="105" spans="2:18" x14ac:dyDescent="0.25">
      <c r="B105" s="137"/>
      <c r="C105" s="153" t="s">
        <v>1975</v>
      </c>
      <c r="D105" s="153" t="s">
        <v>1975</v>
      </c>
      <c r="E105" s="155" t="s">
        <v>799</v>
      </c>
      <c r="F105" s="178"/>
      <c r="G105" s="154" t="s">
        <v>799</v>
      </c>
      <c r="H105" s="154" t="s">
        <v>798</v>
      </c>
      <c r="I105" s="179"/>
      <c r="J105" s="142"/>
      <c r="K105" s="142"/>
      <c r="L105" s="142"/>
      <c r="M105" s="180"/>
      <c r="N105" s="142"/>
      <c r="O105" s="142"/>
      <c r="P105" s="142"/>
      <c r="Q105" s="142"/>
      <c r="R105" s="176"/>
    </row>
    <row r="106" spans="2:18" x14ac:dyDescent="0.25">
      <c r="B106" s="137"/>
      <c r="C106" s="181" t="s">
        <v>1775</v>
      </c>
      <c r="D106" s="152" t="s">
        <v>2084</v>
      </c>
      <c r="E106" s="152">
        <v>275</v>
      </c>
      <c r="F106" s="152" t="s">
        <v>2083</v>
      </c>
      <c r="G106" s="182" t="e">
        <f>$G$8</f>
        <v>#REF!</v>
      </c>
      <c r="H106" s="154" t="s">
        <v>801</v>
      </c>
      <c r="I106" s="179"/>
      <c r="J106" s="142"/>
      <c r="K106" s="142"/>
      <c r="L106" s="142"/>
      <c r="M106" s="180"/>
      <c r="N106" s="142"/>
      <c r="O106" s="142"/>
      <c r="P106" s="142"/>
      <c r="Q106" s="142"/>
      <c r="R106" s="176"/>
    </row>
    <row r="107" spans="2:18" x14ac:dyDescent="0.25">
      <c r="B107" s="137"/>
      <c r="C107" s="152">
        <v>4</v>
      </c>
      <c r="D107" s="152" t="s">
        <v>2084</v>
      </c>
      <c r="E107" s="152">
        <v>275</v>
      </c>
      <c r="F107" s="152" t="s">
        <v>2083</v>
      </c>
      <c r="G107" s="182" t="e">
        <f>$G$8</f>
        <v>#REF!</v>
      </c>
      <c r="H107" s="152" t="s">
        <v>801</v>
      </c>
      <c r="I107" s="179"/>
      <c r="J107" s="142"/>
      <c r="K107" s="142" t="s">
        <v>266</v>
      </c>
      <c r="L107" s="142"/>
      <c r="M107" s="180"/>
      <c r="N107" s="142"/>
      <c r="O107" s="142"/>
      <c r="P107" s="142"/>
      <c r="Q107" s="142"/>
      <c r="R107" s="176"/>
    </row>
    <row r="108" spans="2:18" x14ac:dyDescent="0.25">
      <c r="B108" s="137"/>
      <c r="C108" s="152">
        <v>5</v>
      </c>
      <c r="D108" s="152" t="s">
        <v>2084</v>
      </c>
      <c r="E108" s="152">
        <v>275</v>
      </c>
      <c r="F108" s="152" t="s">
        <v>2083</v>
      </c>
      <c r="G108" s="182" t="e">
        <f>$G$8</f>
        <v>#REF!</v>
      </c>
      <c r="H108" s="152" t="s">
        <v>801</v>
      </c>
      <c r="I108" s="183"/>
      <c r="J108" s="138"/>
      <c r="K108" s="739" t="s">
        <v>2476</v>
      </c>
      <c r="L108" s="740"/>
      <c r="M108" s="740"/>
      <c r="N108" s="740"/>
      <c r="O108" s="740"/>
      <c r="P108" s="741"/>
      <c r="Q108" s="142"/>
      <c r="R108" s="176"/>
    </row>
    <row r="109" spans="2:18" x14ac:dyDescent="0.25">
      <c r="B109" s="137"/>
      <c r="C109" s="152" t="s">
        <v>2478</v>
      </c>
      <c r="D109" s="152" t="s">
        <v>2084</v>
      </c>
      <c r="E109" s="152">
        <v>400</v>
      </c>
      <c r="F109" s="152" t="s">
        <v>2083</v>
      </c>
      <c r="G109" s="182" t="e">
        <f>$G$11</f>
        <v>#REF!</v>
      </c>
      <c r="H109" s="184" t="e">
        <f>$H$11</f>
        <v>#REF!</v>
      </c>
      <c r="I109" s="185"/>
      <c r="J109" s="142"/>
      <c r="K109" s="142"/>
      <c r="L109" s="142"/>
      <c r="M109" s="149"/>
      <c r="N109" s="142"/>
      <c r="O109" s="142"/>
      <c r="P109" s="142"/>
      <c r="Q109" s="142"/>
      <c r="R109" s="176"/>
    </row>
    <row r="110" spans="2:18" x14ac:dyDescent="0.25">
      <c r="B110" s="137"/>
      <c r="C110" s="186"/>
      <c r="D110" s="186"/>
      <c r="E110" s="186"/>
      <c r="F110" s="186"/>
      <c r="G110" s="187"/>
      <c r="H110" s="188"/>
      <c r="I110" s="185"/>
      <c r="J110" s="142"/>
      <c r="K110" s="142"/>
      <c r="L110" s="142"/>
      <c r="M110" s="149"/>
      <c r="N110" s="142"/>
      <c r="O110" s="142"/>
      <c r="P110" s="142"/>
      <c r="Q110" s="142"/>
      <c r="R110" s="176"/>
    </row>
    <row r="111" spans="2:18" x14ac:dyDescent="0.25">
      <c r="B111" s="189" t="s">
        <v>1592</v>
      </c>
      <c r="C111" s="142"/>
      <c r="D111" s="137"/>
      <c r="E111" s="137"/>
      <c r="F111" s="142"/>
      <c r="G111" s="142"/>
      <c r="H111" s="142"/>
      <c r="I111" s="151"/>
      <c r="J111" s="142"/>
      <c r="K111" s="142"/>
      <c r="L111" s="142"/>
      <c r="M111" s="149"/>
      <c r="N111" s="142"/>
      <c r="O111" s="142"/>
      <c r="P111" s="142"/>
      <c r="Q111" s="142"/>
      <c r="R111" s="176"/>
    </row>
    <row r="112" spans="2:18" x14ac:dyDescent="0.25">
      <c r="B112" s="142">
        <f>Eingabe!P169</f>
        <v>0</v>
      </c>
      <c r="C112" s="142"/>
      <c r="D112" s="142"/>
      <c r="E112" s="142"/>
      <c r="F112" s="142"/>
      <c r="G112" s="142"/>
      <c r="H112" s="142"/>
      <c r="I112" s="151"/>
      <c r="J112" s="142"/>
      <c r="K112" s="142"/>
      <c r="L112" s="142"/>
      <c r="M112" s="149"/>
      <c r="N112" s="142"/>
      <c r="O112" s="142"/>
      <c r="P112" s="142"/>
      <c r="Q112" s="142"/>
      <c r="R112" s="176"/>
    </row>
    <row r="113" spans="2:18" x14ac:dyDescent="0.25">
      <c r="B113" s="137"/>
      <c r="C113" s="186"/>
      <c r="D113" s="186"/>
      <c r="E113" s="186"/>
      <c r="F113" s="186"/>
      <c r="G113" s="187"/>
      <c r="H113" s="188"/>
      <c r="I113" s="185"/>
      <c r="J113" s="142"/>
      <c r="K113" s="142"/>
      <c r="L113" s="142"/>
      <c r="M113" s="149"/>
      <c r="N113" s="142"/>
      <c r="O113" s="142"/>
      <c r="P113" s="142"/>
      <c r="Q113" s="142"/>
      <c r="R113" s="176"/>
    </row>
    <row r="117" spans="2:18" x14ac:dyDescent="0.25">
      <c r="K117" s="95"/>
    </row>
  </sheetData>
  <sheetProtection selectLockedCells="1"/>
  <mergeCells count="45">
    <mergeCell ref="C6:D6"/>
    <mergeCell ref="E6:F6"/>
    <mergeCell ref="K22:P22"/>
    <mergeCell ref="E42:F42"/>
    <mergeCell ref="C42:D42"/>
    <mergeCell ref="C18:D18"/>
    <mergeCell ref="E18:F18"/>
    <mergeCell ref="G18:H18"/>
    <mergeCell ref="C30:D30"/>
    <mergeCell ref="E30:F30"/>
    <mergeCell ref="K10:P10"/>
    <mergeCell ref="C32:D32"/>
    <mergeCell ref="C33:D33"/>
    <mergeCell ref="C34:D34"/>
    <mergeCell ref="C35:D35"/>
    <mergeCell ref="S15:AB15"/>
    <mergeCell ref="G42:H42"/>
    <mergeCell ref="T39:W39"/>
    <mergeCell ref="S5:AB5"/>
    <mergeCell ref="G6:H6"/>
    <mergeCell ref="K34:P34"/>
    <mergeCell ref="T36:V36"/>
    <mergeCell ref="K46:P46"/>
    <mergeCell ref="G30:H30"/>
    <mergeCell ref="K108:P108"/>
    <mergeCell ref="K84:P84"/>
    <mergeCell ref="K96:P96"/>
    <mergeCell ref="K75:P75"/>
    <mergeCell ref="C104:D104"/>
    <mergeCell ref="E104:F104"/>
    <mergeCell ref="G104:H104"/>
    <mergeCell ref="G80:H80"/>
    <mergeCell ref="K58:P58"/>
    <mergeCell ref="C92:D92"/>
    <mergeCell ref="E92:F92"/>
    <mergeCell ref="G92:H92"/>
    <mergeCell ref="C80:D80"/>
    <mergeCell ref="E80:F80"/>
    <mergeCell ref="K72:P72"/>
    <mergeCell ref="C54:D54"/>
    <mergeCell ref="E54:F54"/>
    <mergeCell ref="G54:H54"/>
    <mergeCell ref="C68:D68"/>
    <mergeCell ref="E68:F68"/>
    <mergeCell ref="G68:H68"/>
  </mergeCells>
  <phoneticPr fontId="2" type="noConversion"/>
  <hyperlinks>
    <hyperlink ref="K96" r:id="rId1"/>
    <hyperlink ref="K108" r:id="rId2"/>
    <hyperlink ref="K84" r:id="rId3"/>
    <hyperlink ref="K58" r:id="rId4"/>
    <hyperlink ref="K34" r:id="rId5"/>
    <hyperlink ref="K46" r:id="rId6"/>
    <hyperlink ref="K10" r:id="rId7"/>
    <hyperlink ref="K22" r:id="rId8"/>
    <hyperlink ref="K72" r:id="rId9"/>
    <hyperlink ref="K75" r:id="rId10"/>
    <hyperlink ref="T36" r:id="rId11"/>
    <hyperlink ref="T39" r:id="rId12"/>
  </hyperlinks>
  <pageMargins left="0.78740157480314965" right="0.78740157480314965" top="0.59055118110236227" bottom="0.59055118110236227" header="0.35433070866141736" footer="0.51181102362204722"/>
  <pageSetup paperSize="9" scale="64" orientation="landscape" r:id="rId13"/>
  <headerFooter alignWithMargins="0">
    <oddFooter>&amp;C&amp;"Arial,Fett"&amp;12Seite &amp;P von &amp;N</oddFooter>
  </headerFooter>
  <rowBreaks count="1" manualBreakCount="1">
    <brk id="63" max="16383" man="1"/>
  </rowBreaks>
  <colBreaks count="1" manualBreakCount="1">
    <brk id="18" max="1048575" man="1"/>
  </colBreaks>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22"/>
  </sheetPr>
  <dimension ref="A1:M54"/>
  <sheetViews>
    <sheetView zoomScale="75" zoomScaleNormal="75" workbookViewId="0">
      <selection activeCell="N10" sqref="N10"/>
    </sheetView>
  </sheetViews>
  <sheetFormatPr baseColWidth="10" defaultColWidth="11.375" defaultRowHeight="12.9" x14ac:dyDescent="0.2"/>
  <cols>
    <col min="1" max="1" width="24" style="1" bestFit="1" customWidth="1"/>
    <col min="2" max="3" width="6.25" style="2" bestFit="1" customWidth="1"/>
    <col min="4" max="4" width="23.125" style="1" customWidth="1"/>
    <col min="5" max="5" width="23.375" style="1" bestFit="1" customWidth="1"/>
    <col min="6" max="6" width="28" style="1" bestFit="1" customWidth="1"/>
    <col min="7" max="7" width="12.625" style="1" bestFit="1" customWidth="1"/>
    <col min="8" max="8" width="12.875" style="1" bestFit="1" customWidth="1"/>
    <col min="9" max="9" width="29.125" style="1" customWidth="1"/>
    <col min="10" max="10" width="11.375" style="1"/>
    <col min="11" max="11" width="13" style="1" customWidth="1"/>
    <col min="12" max="12" width="8.875" style="1" customWidth="1"/>
    <col min="13" max="13" width="9.875" style="1" customWidth="1"/>
    <col min="14" max="16384" width="11.375" style="1"/>
  </cols>
  <sheetData>
    <row r="1" spans="1:13" ht="13.6" x14ac:dyDescent="0.25">
      <c r="A1" s="105" t="s">
        <v>89</v>
      </c>
      <c r="B1" s="106" t="s">
        <v>90</v>
      </c>
      <c r="C1" s="106" t="s">
        <v>91</v>
      </c>
      <c r="D1" s="106" t="s">
        <v>92</v>
      </c>
      <c r="E1" s="106" t="s">
        <v>93</v>
      </c>
      <c r="F1" s="106" t="s">
        <v>94</v>
      </c>
      <c r="G1" s="106" t="s">
        <v>95</v>
      </c>
      <c r="H1" s="106" t="s">
        <v>96</v>
      </c>
      <c r="I1" s="107" t="s">
        <v>97</v>
      </c>
    </row>
    <row r="2" spans="1:13" ht="14.3" thickBot="1" x14ac:dyDescent="0.3">
      <c r="A2" s="108"/>
      <c r="B2" s="109"/>
      <c r="C2" s="109"/>
      <c r="D2" s="109"/>
      <c r="E2" s="109" t="s">
        <v>98</v>
      </c>
      <c r="F2" s="109" t="s">
        <v>99</v>
      </c>
      <c r="G2" s="109" t="s">
        <v>100</v>
      </c>
      <c r="H2" s="109" t="s">
        <v>100</v>
      </c>
      <c r="I2" s="110"/>
      <c r="J2" s="81"/>
    </row>
    <row r="3" spans="1:13" ht="13.6" x14ac:dyDescent="0.25">
      <c r="A3" s="16" t="s">
        <v>101</v>
      </c>
      <c r="B3" s="17">
        <v>8911</v>
      </c>
      <c r="C3" s="17" t="s">
        <v>102</v>
      </c>
      <c r="D3" s="17" t="e">
        <f t="shared" ref="D3:D34" si="0">IF(B3&gt;$L$3,B3-$L$3,$L$3-B3)</f>
        <v>#VALUE!</v>
      </c>
      <c r="E3" s="18">
        <v>1028.32</v>
      </c>
      <c r="F3" s="17" t="s">
        <v>103</v>
      </c>
      <c r="G3" s="17" t="s">
        <v>104</v>
      </c>
      <c r="H3" s="17" t="s">
        <v>105</v>
      </c>
      <c r="I3" s="19" t="e">
        <f t="shared" ref="I3:I34" si="1">IF($L$4=D3,E3,0)</f>
        <v>#VALUE!</v>
      </c>
      <c r="J3" s="81" t="e">
        <f>IF(I3=0,0,1)</f>
        <v>#VALUE!</v>
      </c>
      <c r="K3" s="20" t="s">
        <v>87</v>
      </c>
      <c r="L3" s="21" t="str">
        <f>Eingabe!M12</f>
        <v>VW Golf - Benzin</v>
      </c>
      <c r="M3" s="22"/>
    </row>
    <row r="4" spans="1:13" ht="13.6" x14ac:dyDescent="0.25">
      <c r="A4" s="23" t="s">
        <v>107</v>
      </c>
      <c r="B4" s="24">
        <v>3300</v>
      </c>
      <c r="C4" s="24" t="s">
        <v>102</v>
      </c>
      <c r="D4" s="24" t="e">
        <f t="shared" si="0"/>
        <v>#VALUE!</v>
      </c>
      <c r="E4" s="25">
        <v>1069.0999999999999</v>
      </c>
      <c r="F4" s="24" t="s">
        <v>108</v>
      </c>
      <c r="G4" s="24" t="s">
        <v>109</v>
      </c>
      <c r="H4" s="24" t="s">
        <v>110</v>
      </c>
      <c r="I4" s="26" t="e">
        <f t="shared" si="1"/>
        <v>#VALUE!</v>
      </c>
      <c r="J4" s="81" t="e">
        <f t="shared" ref="J4:J53" si="2">IF(I4=0,0,1)</f>
        <v>#VALUE!</v>
      </c>
      <c r="K4" s="27" t="s">
        <v>106</v>
      </c>
      <c r="L4" s="28" t="e">
        <f>MIN(D3:D53)</f>
        <v>#VALUE!</v>
      </c>
      <c r="M4" s="29"/>
    </row>
    <row r="5" spans="1:13" ht="14.3" thickBot="1" x14ac:dyDescent="0.3">
      <c r="A5" s="23" t="s">
        <v>112</v>
      </c>
      <c r="B5" s="24">
        <v>9543</v>
      </c>
      <c r="C5" s="24" t="s">
        <v>102</v>
      </c>
      <c r="D5" s="24" t="e">
        <f t="shared" si="0"/>
        <v>#VALUE!</v>
      </c>
      <c r="E5" s="25">
        <v>1144.54</v>
      </c>
      <c r="F5" s="24" t="s">
        <v>113</v>
      </c>
      <c r="G5" s="24" t="s">
        <v>114</v>
      </c>
      <c r="H5" s="24" t="s">
        <v>115</v>
      </c>
      <c r="I5" s="26" t="e">
        <f t="shared" si="1"/>
        <v>#VALUE!</v>
      </c>
      <c r="J5" s="81" t="e">
        <f t="shared" si="2"/>
        <v>#VALUE!</v>
      </c>
      <c r="K5" s="30" t="s">
        <v>111</v>
      </c>
      <c r="L5" s="31" t="e">
        <f>ROUNDDOWN(K54,-0.5)</f>
        <v>#VALUE!</v>
      </c>
      <c r="M5" s="32" t="s">
        <v>88</v>
      </c>
    </row>
    <row r="6" spans="1:13" x14ac:dyDescent="0.2">
      <c r="A6" s="23" t="s">
        <v>116</v>
      </c>
      <c r="B6" s="24">
        <v>8344</v>
      </c>
      <c r="C6" s="24" t="s">
        <v>102</v>
      </c>
      <c r="D6" s="24" t="e">
        <f t="shared" si="0"/>
        <v>#VALUE!</v>
      </c>
      <c r="E6" s="25">
        <v>1153.19</v>
      </c>
      <c r="F6" s="24" t="s">
        <v>117</v>
      </c>
      <c r="G6" s="24" t="s">
        <v>118</v>
      </c>
      <c r="H6" s="24" t="s">
        <v>119</v>
      </c>
      <c r="I6" s="26" t="e">
        <f t="shared" si="1"/>
        <v>#VALUE!</v>
      </c>
      <c r="J6" s="81" t="e">
        <f t="shared" si="2"/>
        <v>#VALUE!</v>
      </c>
    </row>
    <row r="7" spans="1:13" x14ac:dyDescent="0.2">
      <c r="A7" s="23" t="s">
        <v>120</v>
      </c>
      <c r="B7" s="24">
        <v>4820</v>
      </c>
      <c r="C7" s="24" t="s">
        <v>102</v>
      </c>
      <c r="D7" s="24" t="e">
        <f t="shared" si="0"/>
        <v>#VALUE!</v>
      </c>
      <c r="E7" s="25">
        <v>1093.31</v>
      </c>
      <c r="F7" s="24" t="s">
        <v>121</v>
      </c>
      <c r="G7" s="24" t="s">
        <v>122</v>
      </c>
      <c r="H7" s="24" t="s">
        <v>123</v>
      </c>
      <c r="I7" s="26" t="e">
        <f t="shared" si="1"/>
        <v>#VALUE!</v>
      </c>
      <c r="J7" s="81" t="e">
        <f t="shared" si="2"/>
        <v>#VALUE!</v>
      </c>
    </row>
    <row r="8" spans="1:13" x14ac:dyDescent="0.2">
      <c r="A8" s="23" t="s">
        <v>124</v>
      </c>
      <c r="B8" s="24">
        <v>6700</v>
      </c>
      <c r="C8" s="24" t="s">
        <v>102</v>
      </c>
      <c r="D8" s="24" t="e">
        <f t="shared" si="0"/>
        <v>#VALUE!</v>
      </c>
      <c r="E8" s="25">
        <v>1079.79</v>
      </c>
      <c r="F8" s="24" t="s">
        <v>125</v>
      </c>
      <c r="G8" s="24" t="s">
        <v>126</v>
      </c>
      <c r="H8" s="24" t="s">
        <v>127</v>
      </c>
      <c r="I8" s="26" t="e">
        <f t="shared" si="1"/>
        <v>#VALUE!</v>
      </c>
      <c r="J8" s="81" t="e">
        <f t="shared" si="2"/>
        <v>#VALUE!</v>
      </c>
    </row>
    <row r="9" spans="1:13" x14ac:dyDescent="0.2">
      <c r="A9" s="23" t="s">
        <v>128</v>
      </c>
      <c r="B9" s="24">
        <v>8600</v>
      </c>
      <c r="C9" s="24" t="s">
        <v>102</v>
      </c>
      <c r="D9" s="24" t="e">
        <f t="shared" si="0"/>
        <v>#VALUE!</v>
      </c>
      <c r="E9" s="25">
        <v>1070.77</v>
      </c>
      <c r="F9" s="24" t="s">
        <v>129</v>
      </c>
      <c r="G9" s="24" t="s">
        <v>130</v>
      </c>
      <c r="H9" s="24" t="s">
        <v>131</v>
      </c>
      <c r="I9" s="26" t="e">
        <f t="shared" si="1"/>
        <v>#VALUE!</v>
      </c>
      <c r="J9" s="81" t="e">
        <f t="shared" si="2"/>
        <v>#VALUE!</v>
      </c>
    </row>
    <row r="10" spans="1:13" x14ac:dyDescent="0.2">
      <c r="A10" s="23" t="s">
        <v>132</v>
      </c>
      <c r="B10" s="24">
        <v>8790</v>
      </c>
      <c r="C10" s="24" t="s">
        <v>102</v>
      </c>
      <c r="D10" s="24" t="e">
        <f t="shared" si="0"/>
        <v>#VALUE!</v>
      </c>
      <c r="E10" s="25">
        <v>1071.43</v>
      </c>
      <c r="F10" s="24" t="s">
        <v>133</v>
      </c>
      <c r="G10" s="24" t="s">
        <v>134</v>
      </c>
      <c r="H10" s="24" t="s">
        <v>135</v>
      </c>
      <c r="I10" s="26" t="e">
        <f t="shared" si="1"/>
        <v>#VALUE!</v>
      </c>
      <c r="J10" s="81" t="e">
        <f t="shared" si="2"/>
        <v>#VALUE!</v>
      </c>
    </row>
    <row r="11" spans="1:13" x14ac:dyDescent="0.2">
      <c r="A11" s="23" t="s">
        <v>136</v>
      </c>
      <c r="B11" s="24">
        <v>7000</v>
      </c>
      <c r="C11" s="24" t="s">
        <v>102</v>
      </c>
      <c r="D11" s="24" t="e">
        <f t="shared" si="0"/>
        <v>#VALUE!</v>
      </c>
      <c r="E11" s="25">
        <v>1132.17</v>
      </c>
      <c r="F11" s="24" t="s">
        <v>137</v>
      </c>
      <c r="G11" s="24" t="s">
        <v>138</v>
      </c>
      <c r="H11" s="24" t="s">
        <v>139</v>
      </c>
      <c r="I11" s="26" t="e">
        <f t="shared" si="1"/>
        <v>#VALUE!</v>
      </c>
      <c r="J11" s="81" t="e">
        <f t="shared" si="2"/>
        <v>#VALUE!</v>
      </c>
    </row>
    <row r="12" spans="1:13" x14ac:dyDescent="0.2">
      <c r="A12" s="23" t="s">
        <v>140</v>
      </c>
      <c r="B12" s="24">
        <v>6800</v>
      </c>
      <c r="C12" s="24" t="s">
        <v>102</v>
      </c>
      <c r="D12" s="24" t="e">
        <f t="shared" si="0"/>
        <v>#VALUE!</v>
      </c>
      <c r="E12" s="25">
        <v>1100.3800000000001</v>
      </c>
      <c r="F12" s="24" t="s">
        <v>141</v>
      </c>
      <c r="G12" s="24" t="s">
        <v>142</v>
      </c>
      <c r="H12" s="24" t="s">
        <v>143</v>
      </c>
      <c r="I12" s="26" t="e">
        <f t="shared" si="1"/>
        <v>#VALUE!</v>
      </c>
      <c r="J12" s="81" t="e">
        <f t="shared" si="2"/>
        <v>#VALUE!</v>
      </c>
    </row>
    <row r="13" spans="1:13" x14ac:dyDescent="0.2">
      <c r="A13" s="23" t="s">
        <v>144</v>
      </c>
      <c r="B13" s="24">
        <v>9170</v>
      </c>
      <c r="C13" s="24" t="s">
        <v>102</v>
      </c>
      <c r="D13" s="24" t="e">
        <f t="shared" si="0"/>
        <v>#VALUE!</v>
      </c>
      <c r="E13" s="25">
        <v>1156.25</v>
      </c>
      <c r="F13" s="24" t="s">
        <v>145</v>
      </c>
      <c r="G13" s="24" t="s">
        <v>146</v>
      </c>
      <c r="H13" s="24" t="s">
        <v>147</v>
      </c>
      <c r="I13" s="26" t="e">
        <f t="shared" si="1"/>
        <v>#VALUE!</v>
      </c>
      <c r="J13" s="81" t="e">
        <f t="shared" si="2"/>
        <v>#VALUE!</v>
      </c>
    </row>
    <row r="14" spans="1:13" x14ac:dyDescent="0.2">
      <c r="A14" s="23" t="s">
        <v>149</v>
      </c>
      <c r="B14" s="24">
        <v>9712</v>
      </c>
      <c r="C14" s="24" t="s">
        <v>102</v>
      </c>
      <c r="D14" s="24" t="e">
        <f t="shared" si="0"/>
        <v>#VALUE!</v>
      </c>
      <c r="E14" s="25">
        <v>1207.3599999999999</v>
      </c>
      <c r="F14" s="24" t="s">
        <v>150</v>
      </c>
      <c r="G14" s="24" t="s">
        <v>151</v>
      </c>
      <c r="H14" s="24" t="s">
        <v>152</v>
      </c>
      <c r="I14" s="26" t="e">
        <f t="shared" si="1"/>
        <v>#VALUE!</v>
      </c>
      <c r="J14" s="81" t="e">
        <f t="shared" si="2"/>
        <v>#VALUE!</v>
      </c>
    </row>
    <row r="15" spans="1:13" x14ac:dyDescent="0.2">
      <c r="A15" s="23" t="s">
        <v>153</v>
      </c>
      <c r="B15" s="24">
        <v>6787</v>
      </c>
      <c r="C15" s="24" t="s">
        <v>102</v>
      </c>
      <c r="D15" s="24" t="e">
        <f t="shared" si="0"/>
        <v>#VALUE!</v>
      </c>
      <c r="E15" s="25">
        <v>1174.51</v>
      </c>
      <c r="F15" s="24" t="s">
        <v>154</v>
      </c>
      <c r="G15" s="24" t="s">
        <v>155</v>
      </c>
      <c r="H15" s="24" t="s">
        <v>156</v>
      </c>
      <c r="I15" s="26" t="e">
        <f t="shared" si="1"/>
        <v>#VALUE!</v>
      </c>
      <c r="J15" s="81" t="e">
        <f t="shared" si="2"/>
        <v>#VALUE!</v>
      </c>
    </row>
    <row r="16" spans="1:13" x14ac:dyDescent="0.2">
      <c r="A16" s="23" t="s">
        <v>157</v>
      </c>
      <c r="B16" s="24">
        <v>4810</v>
      </c>
      <c r="C16" s="24" t="s">
        <v>102</v>
      </c>
      <c r="D16" s="24" t="e">
        <f t="shared" si="0"/>
        <v>#VALUE!</v>
      </c>
      <c r="E16" s="25">
        <v>1088.42</v>
      </c>
      <c r="F16" s="24" t="s">
        <v>158</v>
      </c>
      <c r="G16" s="24" t="s">
        <v>159</v>
      </c>
      <c r="H16" s="24" t="s">
        <v>160</v>
      </c>
      <c r="I16" s="26" t="e">
        <f t="shared" si="1"/>
        <v>#VALUE!</v>
      </c>
      <c r="J16" s="81" t="e">
        <f t="shared" si="2"/>
        <v>#VALUE!</v>
      </c>
    </row>
    <row r="17" spans="1:10" x14ac:dyDescent="0.2">
      <c r="A17" s="23" t="s">
        <v>161</v>
      </c>
      <c r="B17" s="24">
        <v>8010</v>
      </c>
      <c r="C17" s="24" t="s">
        <v>102</v>
      </c>
      <c r="D17" s="24" t="e">
        <f t="shared" si="0"/>
        <v>#VALUE!</v>
      </c>
      <c r="E17" s="25">
        <v>1126.02</v>
      </c>
      <c r="F17" s="24" t="s">
        <v>162</v>
      </c>
      <c r="G17" s="24" t="s">
        <v>163</v>
      </c>
      <c r="H17" s="24" t="s">
        <v>164</v>
      </c>
      <c r="I17" s="26" t="e">
        <f t="shared" si="1"/>
        <v>#VALUE!</v>
      </c>
      <c r="J17" s="81" t="e">
        <f t="shared" si="2"/>
        <v>#VALUE!</v>
      </c>
    </row>
    <row r="18" spans="1:10" x14ac:dyDescent="0.2">
      <c r="A18" s="23" t="s">
        <v>165</v>
      </c>
      <c r="B18" s="24">
        <v>2352</v>
      </c>
      <c r="C18" s="24" t="s">
        <v>102</v>
      </c>
      <c r="D18" s="24" t="e">
        <f t="shared" si="0"/>
        <v>#VALUE!</v>
      </c>
      <c r="E18" s="25">
        <v>1125.22</v>
      </c>
      <c r="F18" s="24" t="s">
        <v>166</v>
      </c>
      <c r="G18" s="24" t="s">
        <v>167</v>
      </c>
      <c r="H18" s="24" t="s">
        <v>168</v>
      </c>
      <c r="I18" s="26" t="e">
        <f t="shared" si="1"/>
        <v>#VALUE!</v>
      </c>
      <c r="J18" s="81" t="e">
        <f t="shared" si="2"/>
        <v>#VALUE!</v>
      </c>
    </row>
    <row r="19" spans="1:10" x14ac:dyDescent="0.2">
      <c r="A19" s="23" t="s">
        <v>169</v>
      </c>
      <c r="B19" s="24">
        <v>4830</v>
      </c>
      <c r="C19" s="24" t="s">
        <v>102</v>
      </c>
      <c r="D19" s="24" t="e">
        <f t="shared" si="0"/>
        <v>#VALUE!</v>
      </c>
      <c r="E19" s="25">
        <v>1054.8</v>
      </c>
      <c r="F19" s="24" t="s">
        <v>170</v>
      </c>
      <c r="G19" s="24" t="s">
        <v>171</v>
      </c>
      <c r="H19" s="24" t="s">
        <v>172</v>
      </c>
      <c r="I19" s="26" t="e">
        <f t="shared" si="1"/>
        <v>#VALUE!</v>
      </c>
      <c r="J19" s="81" t="e">
        <f t="shared" si="2"/>
        <v>#VALUE!</v>
      </c>
    </row>
    <row r="20" spans="1:10" x14ac:dyDescent="0.2">
      <c r="A20" s="23" t="s">
        <v>173</v>
      </c>
      <c r="B20" s="24">
        <v>6460</v>
      </c>
      <c r="C20" s="24" t="s">
        <v>102</v>
      </c>
      <c r="D20" s="24" t="e">
        <f t="shared" si="0"/>
        <v>#VALUE!</v>
      </c>
      <c r="E20" s="25">
        <v>1069.1099999999999</v>
      </c>
      <c r="F20" s="24" t="s">
        <v>174</v>
      </c>
      <c r="G20" s="24" t="s">
        <v>175</v>
      </c>
      <c r="H20" s="24" t="s">
        <v>143</v>
      </c>
      <c r="I20" s="26" t="e">
        <f t="shared" si="1"/>
        <v>#VALUE!</v>
      </c>
      <c r="J20" s="81" t="e">
        <f t="shared" si="2"/>
        <v>#VALUE!</v>
      </c>
    </row>
    <row r="21" spans="1:10" x14ac:dyDescent="0.2">
      <c r="A21" s="23" t="s">
        <v>176</v>
      </c>
      <c r="B21" s="24">
        <v>6020</v>
      </c>
      <c r="C21" s="24" t="s">
        <v>102</v>
      </c>
      <c r="D21" s="24" t="e">
        <f t="shared" si="0"/>
        <v>#VALUE!</v>
      </c>
      <c r="E21" s="25">
        <v>1089.72</v>
      </c>
      <c r="F21" s="24" t="s">
        <v>177</v>
      </c>
      <c r="G21" s="24" t="s">
        <v>178</v>
      </c>
      <c r="H21" s="24" t="s">
        <v>179</v>
      </c>
      <c r="I21" s="26" t="e">
        <f t="shared" si="1"/>
        <v>#VALUE!</v>
      </c>
      <c r="J21" s="81" t="e">
        <f t="shared" si="2"/>
        <v>#VALUE!</v>
      </c>
    </row>
    <row r="22" spans="1:10" x14ac:dyDescent="0.2">
      <c r="A22" s="23" t="s">
        <v>180</v>
      </c>
      <c r="B22" s="24">
        <v>6370</v>
      </c>
      <c r="C22" s="24" t="s">
        <v>102</v>
      </c>
      <c r="D22" s="24" t="e">
        <f t="shared" si="0"/>
        <v>#VALUE!</v>
      </c>
      <c r="E22" s="25">
        <v>1069.8800000000001</v>
      </c>
      <c r="F22" s="24" t="s">
        <v>181</v>
      </c>
      <c r="G22" s="24" t="s">
        <v>182</v>
      </c>
      <c r="H22" s="24" t="s">
        <v>183</v>
      </c>
      <c r="I22" s="26" t="e">
        <f t="shared" si="1"/>
        <v>#VALUE!</v>
      </c>
      <c r="J22" s="81" t="e">
        <f t="shared" si="2"/>
        <v>#VALUE!</v>
      </c>
    </row>
    <row r="23" spans="1:10" x14ac:dyDescent="0.2">
      <c r="A23" s="23" t="s">
        <v>184</v>
      </c>
      <c r="B23" s="24">
        <v>9010</v>
      </c>
      <c r="C23" s="24" t="s">
        <v>102</v>
      </c>
      <c r="D23" s="24" t="e">
        <f t="shared" si="0"/>
        <v>#VALUE!</v>
      </c>
      <c r="E23" s="25">
        <v>1131</v>
      </c>
      <c r="F23" s="24" t="s">
        <v>185</v>
      </c>
      <c r="G23" s="24" t="s">
        <v>186</v>
      </c>
      <c r="H23" s="24" t="s">
        <v>187</v>
      </c>
      <c r="I23" s="26" t="e">
        <f t="shared" si="1"/>
        <v>#VALUE!</v>
      </c>
      <c r="J23" s="81" t="e">
        <f t="shared" si="2"/>
        <v>#VALUE!</v>
      </c>
    </row>
    <row r="24" spans="1:10" x14ac:dyDescent="0.2">
      <c r="A24" s="23" t="s">
        <v>188</v>
      </c>
      <c r="B24" s="24">
        <v>3500</v>
      </c>
      <c r="C24" s="24" t="s">
        <v>102</v>
      </c>
      <c r="D24" s="24" t="e">
        <f t="shared" si="0"/>
        <v>#VALUE!</v>
      </c>
      <c r="E24" s="25">
        <v>1071.4000000000001</v>
      </c>
      <c r="F24" s="24" t="s">
        <v>189</v>
      </c>
      <c r="G24" s="24" t="s">
        <v>190</v>
      </c>
      <c r="H24" s="24" t="s">
        <v>127</v>
      </c>
      <c r="I24" s="26" t="e">
        <f t="shared" si="1"/>
        <v>#VALUE!</v>
      </c>
      <c r="J24" s="81" t="e">
        <f t="shared" si="2"/>
        <v>#VALUE!</v>
      </c>
    </row>
    <row r="25" spans="1:10" x14ac:dyDescent="0.2">
      <c r="A25" s="23" t="s">
        <v>191</v>
      </c>
      <c r="B25" s="24">
        <v>4550</v>
      </c>
      <c r="C25" s="24" t="s">
        <v>102</v>
      </c>
      <c r="D25" s="24" t="e">
        <f t="shared" si="0"/>
        <v>#VALUE!</v>
      </c>
      <c r="E25" s="25">
        <v>1046.5</v>
      </c>
      <c r="F25" s="24" t="s">
        <v>192</v>
      </c>
      <c r="G25" s="24" t="s">
        <v>193</v>
      </c>
      <c r="H25" s="24" t="s">
        <v>194</v>
      </c>
      <c r="I25" s="26" t="e">
        <f t="shared" si="1"/>
        <v>#VALUE!</v>
      </c>
      <c r="J25" s="81" t="e">
        <f t="shared" si="2"/>
        <v>#VALUE!</v>
      </c>
    </row>
    <row r="26" spans="1:10" x14ac:dyDescent="0.2">
      <c r="A26" s="23" t="s">
        <v>195</v>
      </c>
      <c r="B26" s="24">
        <v>8700</v>
      </c>
      <c r="C26" s="24" t="s">
        <v>102</v>
      </c>
      <c r="D26" s="24" t="e">
        <f t="shared" si="0"/>
        <v>#VALUE!</v>
      </c>
      <c r="E26" s="25">
        <v>1068.49</v>
      </c>
      <c r="F26" s="24" t="s">
        <v>141</v>
      </c>
      <c r="G26" s="24" t="s">
        <v>196</v>
      </c>
      <c r="H26" s="24" t="s">
        <v>197</v>
      </c>
      <c r="I26" s="26" t="e">
        <f t="shared" si="1"/>
        <v>#VALUE!</v>
      </c>
      <c r="J26" s="81" t="e">
        <f t="shared" si="2"/>
        <v>#VALUE!</v>
      </c>
    </row>
    <row r="27" spans="1:10" x14ac:dyDescent="0.2">
      <c r="A27" s="23" t="s">
        <v>198</v>
      </c>
      <c r="B27" s="24">
        <v>9900</v>
      </c>
      <c r="C27" s="24" t="s">
        <v>102</v>
      </c>
      <c r="D27" s="24" t="e">
        <f t="shared" si="0"/>
        <v>#VALUE!</v>
      </c>
      <c r="E27" s="25">
        <v>1147.74</v>
      </c>
      <c r="F27" s="24" t="s">
        <v>199</v>
      </c>
      <c r="G27" s="24" t="s">
        <v>200</v>
      </c>
      <c r="H27" s="24" t="s">
        <v>201</v>
      </c>
      <c r="I27" s="26" t="e">
        <f t="shared" si="1"/>
        <v>#VALUE!</v>
      </c>
      <c r="J27" s="81" t="e">
        <f t="shared" si="2"/>
        <v>#VALUE!</v>
      </c>
    </row>
    <row r="28" spans="1:10" x14ac:dyDescent="0.2">
      <c r="A28" s="23" t="s">
        <v>202</v>
      </c>
      <c r="B28" s="24">
        <v>3180</v>
      </c>
      <c r="C28" s="24" t="s">
        <v>102</v>
      </c>
      <c r="D28" s="24" t="e">
        <f t="shared" si="0"/>
        <v>#VALUE!</v>
      </c>
      <c r="E28" s="25">
        <v>1075.26</v>
      </c>
      <c r="F28" s="24" t="s">
        <v>203</v>
      </c>
      <c r="G28" s="24" t="s">
        <v>204</v>
      </c>
      <c r="H28" s="24" t="s">
        <v>205</v>
      </c>
      <c r="I28" s="26" t="e">
        <f t="shared" si="1"/>
        <v>#VALUE!</v>
      </c>
      <c r="J28" s="81" t="e">
        <f t="shared" si="2"/>
        <v>#VALUE!</v>
      </c>
    </row>
    <row r="29" spans="1:10" x14ac:dyDescent="0.2">
      <c r="A29" s="23" t="s">
        <v>206</v>
      </c>
      <c r="B29" s="24">
        <v>9872</v>
      </c>
      <c r="C29" s="24" t="s">
        <v>102</v>
      </c>
      <c r="D29" s="24" t="e">
        <f t="shared" si="0"/>
        <v>#VALUE!</v>
      </c>
      <c r="E29" s="25">
        <v>1189.53</v>
      </c>
      <c r="F29" s="24" t="s">
        <v>207</v>
      </c>
      <c r="G29" s="24" t="s">
        <v>208</v>
      </c>
      <c r="H29" s="24" t="s">
        <v>209</v>
      </c>
      <c r="I29" s="26" t="e">
        <f t="shared" si="1"/>
        <v>#VALUE!</v>
      </c>
      <c r="J29" s="81" t="e">
        <f t="shared" si="2"/>
        <v>#VALUE!</v>
      </c>
    </row>
    <row r="30" spans="1:10" x14ac:dyDescent="0.2">
      <c r="A30" s="23" t="s">
        <v>210</v>
      </c>
      <c r="B30" s="24">
        <v>5310</v>
      </c>
      <c r="C30" s="24" t="s">
        <v>102</v>
      </c>
      <c r="D30" s="24" t="e">
        <f t="shared" si="0"/>
        <v>#VALUE!</v>
      </c>
      <c r="E30" s="25">
        <v>1046.56</v>
      </c>
      <c r="F30" s="24" t="s">
        <v>211</v>
      </c>
      <c r="G30" s="24" t="s">
        <v>212</v>
      </c>
      <c r="H30" s="24" t="s">
        <v>213</v>
      </c>
      <c r="I30" s="26" t="e">
        <f t="shared" si="1"/>
        <v>#VALUE!</v>
      </c>
      <c r="J30" s="81" t="e">
        <f t="shared" si="2"/>
        <v>#VALUE!</v>
      </c>
    </row>
    <row r="31" spans="1:10" x14ac:dyDescent="0.2">
      <c r="A31" s="23" t="s">
        <v>214</v>
      </c>
      <c r="B31" s="24">
        <v>2872</v>
      </c>
      <c r="C31" s="24" t="s">
        <v>102</v>
      </c>
      <c r="D31" s="24" t="e">
        <f t="shared" si="0"/>
        <v>#VALUE!</v>
      </c>
      <c r="E31" s="25">
        <v>1083.3</v>
      </c>
      <c r="F31" s="24" t="s">
        <v>215</v>
      </c>
      <c r="G31" s="24" t="s">
        <v>216</v>
      </c>
      <c r="H31" s="24" t="s">
        <v>217</v>
      </c>
      <c r="I31" s="26" t="e">
        <f t="shared" si="1"/>
        <v>#VALUE!</v>
      </c>
      <c r="J31" s="81" t="e">
        <f t="shared" si="2"/>
        <v>#VALUE!</v>
      </c>
    </row>
    <row r="32" spans="1:10" x14ac:dyDescent="0.2">
      <c r="A32" s="23" t="s">
        <v>218</v>
      </c>
      <c r="B32" s="24">
        <v>6543</v>
      </c>
      <c r="C32" s="24" t="s">
        <v>102</v>
      </c>
      <c r="D32" s="24" t="e">
        <f t="shared" si="0"/>
        <v>#VALUE!</v>
      </c>
      <c r="E32" s="25">
        <v>1201.4100000000001</v>
      </c>
      <c r="F32" s="24" t="s">
        <v>219</v>
      </c>
      <c r="G32" s="24" t="s">
        <v>220</v>
      </c>
      <c r="H32" s="24" t="s">
        <v>221</v>
      </c>
      <c r="I32" s="26" t="e">
        <f t="shared" si="1"/>
        <v>#VALUE!</v>
      </c>
      <c r="J32" s="81" t="e">
        <f t="shared" si="2"/>
        <v>#VALUE!</v>
      </c>
    </row>
    <row r="33" spans="1:10" x14ac:dyDescent="0.2">
      <c r="A33" s="23" t="s">
        <v>222</v>
      </c>
      <c r="B33" s="24">
        <v>8820</v>
      </c>
      <c r="C33" s="24" t="s">
        <v>102</v>
      </c>
      <c r="D33" s="24" t="e">
        <f t="shared" si="0"/>
        <v>#VALUE!</v>
      </c>
      <c r="E33" s="25">
        <v>1161.95</v>
      </c>
      <c r="F33" s="24" t="s">
        <v>223</v>
      </c>
      <c r="G33" s="24" t="s">
        <v>224</v>
      </c>
      <c r="H33" s="24" t="s">
        <v>164</v>
      </c>
      <c r="I33" s="26" t="e">
        <f t="shared" si="1"/>
        <v>#VALUE!</v>
      </c>
      <c r="J33" s="81" t="e">
        <f t="shared" si="2"/>
        <v>#VALUE!</v>
      </c>
    </row>
    <row r="34" spans="1:10" x14ac:dyDescent="0.2">
      <c r="A34" s="23" t="s">
        <v>86</v>
      </c>
      <c r="B34" s="24">
        <v>9821</v>
      </c>
      <c r="C34" s="24" t="s">
        <v>102</v>
      </c>
      <c r="D34" s="24" t="e">
        <f t="shared" si="0"/>
        <v>#VALUE!</v>
      </c>
      <c r="E34" s="25">
        <v>1226.7</v>
      </c>
      <c r="F34" s="24" t="s">
        <v>225</v>
      </c>
      <c r="G34" s="24" t="s">
        <v>226</v>
      </c>
      <c r="H34" s="24" t="s">
        <v>227</v>
      </c>
      <c r="I34" s="26" t="e">
        <f t="shared" si="1"/>
        <v>#VALUE!</v>
      </c>
      <c r="J34" s="81" t="e">
        <f t="shared" si="2"/>
        <v>#VALUE!</v>
      </c>
    </row>
    <row r="35" spans="1:10" x14ac:dyDescent="0.2">
      <c r="A35" s="23" t="s">
        <v>228</v>
      </c>
      <c r="B35" s="24">
        <v>8832</v>
      </c>
      <c r="C35" s="24" t="s">
        <v>102</v>
      </c>
      <c r="D35" s="24" t="e">
        <f t="shared" ref="D35:D53" si="3">IF(B35&gt;$L$3,B35-$L$3,$L$3-B35)</f>
        <v>#VALUE!</v>
      </c>
      <c r="E35" s="25">
        <v>1107.8499999999999</v>
      </c>
      <c r="F35" s="24" t="s">
        <v>229</v>
      </c>
      <c r="G35" s="24" t="s">
        <v>230</v>
      </c>
      <c r="H35" s="24" t="s">
        <v>231</v>
      </c>
      <c r="I35" s="26" t="e">
        <f t="shared" ref="I35:I53" si="4">IF($L$4=D35,E35,0)</f>
        <v>#VALUE!</v>
      </c>
      <c r="J35" s="81" t="e">
        <f t="shared" si="2"/>
        <v>#VALUE!</v>
      </c>
    </row>
    <row r="36" spans="1:10" x14ac:dyDescent="0.2">
      <c r="A36" s="23" t="s">
        <v>232</v>
      </c>
      <c r="B36" s="24">
        <v>9545</v>
      </c>
      <c r="C36" s="24" t="s">
        <v>102</v>
      </c>
      <c r="D36" s="24" t="e">
        <f t="shared" si="3"/>
        <v>#VALUE!</v>
      </c>
      <c r="E36" s="25">
        <v>1133.1199999999999</v>
      </c>
      <c r="F36" s="24" t="s">
        <v>233</v>
      </c>
      <c r="G36" s="24" t="s">
        <v>234</v>
      </c>
      <c r="H36" s="24" t="s">
        <v>209</v>
      </c>
      <c r="I36" s="26" t="e">
        <f t="shared" si="4"/>
        <v>#VALUE!</v>
      </c>
      <c r="J36" s="81" t="e">
        <f t="shared" si="2"/>
        <v>#VALUE!</v>
      </c>
    </row>
    <row r="37" spans="1:10" x14ac:dyDescent="0.2">
      <c r="A37" s="23" t="s">
        <v>235</v>
      </c>
      <c r="B37" s="24">
        <v>8972</v>
      </c>
      <c r="C37" s="24" t="s">
        <v>102</v>
      </c>
      <c r="D37" s="24" t="e">
        <f t="shared" si="3"/>
        <v>#VALUE!</v>
      </c>
      <c r="E37" s="25">
        <v>1129.03</v>
      </c>
      <c r="F37" s="24" t="s">
        <v>236</v>
      </c>
      <c r="G37" s="24" t="s">
        <v>237</v>
      </c>
      <c r="H37" s="24" t="s">
        <v>238</v>
      </c>
      <c r="I37" s="26" t="e">
        <f t="shared" si="4"/>
        <v>#VALUE!</v>
      </c>
      <c r="J37" s="81" t="e">
        <f t="shared" si="2"/>
        <v>#VALUE!</v>
      </c>
    </row>
    <row r="38" spans="1:10" x14ac:dyDescent="0.2">
      <c r="A38" s="23" t="s">
        <v>239</v>
      </c>
      <c r="B38" s="24">
        <v>5661</v>
      </c>
      <c r="C38" s="24" t="s">
        <v>102</v>
      </c>
      <c r="D38" s="24" t="e">
        <f t="shared" si="3"/>
        <v>#VALUE!</v>
      </c>
      <c r="E38" s="25">
        <v>1124.1500000000001</v>
      </c>
      <c r="F38" s="24" t="s">
        <v>240</v>
      </c>
      <c r="G38" s="24" t="s">
        <v>241</v>
      </c>
      <c r="H38" s="24" t="s">
        <v>143</v>
      </c>
      <c r="I38" s="26" t="e">
        <f t="shared" si="4"/>
        <v>#VALUE!</v>
      </c>
      <c r="J38" s="81" t="e">
        <f t="shared" si="2"/>
        <v>#VALUE!</v>
      </c>
    </row>
    <row r="39" spans="1:10" x14ac:dyDescent="0.2">
      <c r="A39" s="23" t="s">
        <v>242</v>
      </c>
      <c r="B39" s="24">
        <v>4981</v>
      </c>
      <c r="C39" s="24" t="s">
        <v>102</v>
      </c>
      <c r="D39" s="24" t="e">
        <f t="shared" si="3"/>
        <v>#VALUE!</v>
      </c>
      <c r="E39" s="25">
        <v>1037.3699999999999</v>
      </c>
      <c r="F39" s="24" t="s">
        <v>243</v>
      </c>
      <c r="G39" s="24" t="s">
        <v>244</v>
      </c>
      <c r="H39" s="24" t="s">
        <v>168</v>
      </c>
      <c r="I39" s="26" t="e">
        <f t="shared" si="4"/>
        <v>#VALUE!</v>
      </c>
      <c r="J39" s="81" t="e">
        <f t="shared" si="2"/>
        <v>#VALUE!</v>
      </c>
    </row>
    <row r="40" spans="1:10" x14ac:dyDescent="0.2">
      <c r="A40" s="23" t="s">
        <v>245</v>
      </c>
      <c r="B40" s="24">
        <v>4462</v>
      </c>
      <c r="C40" s="24" t="s">
        <v>102</v>
      </c>
      <c r="D40" s="24" t="e">
        <f t="shared" si="3"/>
        <v>#VALUE!</v>
      </c>
      <c r="E40" s="25">
        <v>1068.82</v>
      </c>
      <c r="F40" s="24" t="s">
        <v>246</v>
      </c>
      <c r="G40" s="24" t="s">
        <v>104</v>
      </c>
      <c r="H40" s="24" t="s">
        <v>247</v>
      </c>
      <c r="I40" s="26" t="e">
        <f t="shared" si="4"/>
        <v>#VALUE!</v>
      </c>
      <c r="J40" s="81" t="e">
        <f t="shared" si="2"/>
        <v>#VALUE!</v>
      </c>
    </row>
    <row r="41" spans="1:10" x14ac:dyDescent="0.2">
      <c r="A41" s="23" t="s">
        <v>248</v>
      </c>
      <c r="B41" s="24">
        <v>5020</v>
      </c>
      <c r="C41" s="24" t="s">
        <v>102</v>
      </c>
      <c r="D41" s="24" t="e">
        <f t="shared" si="3"/>
        <v>#VALUE!</v>
      </c>
      <c r="E41" s="25">
        <v>1113.6099999999999</v>
      </c>
      <c r="F41" s="24" t="s">
        <v>249</v>
      </c>
      <c r="G41" s="24" t="s">
        <v>212</v>
      </c>
      <c r="H41" s="24" t="s">
        <v>250</v>
      </c>
      <c r="I41" s="26" t="e">
        <f t="shared" si="4"/>
        <v>#VALUE!</v>
      </c>
      <c r="J41" s="81" t="e">
        <f t="shared" si="2"/>
        <v>#VALUE!</v>
      </c>
    </row>
    <row r="42" spans="1:10" x14ac:dyDescent="0.2">
      <c r="A42" s="23" t="s">
        <v>251</v>
      </c>
      <c r="B42" s="24">
        <v>9654</v>
      </c>
      <c r="C42" s="24" t="s">
        <v>102</v>
      </c>
      <c r="D42" s="24" t="e">
        <f t="shared" si="3"/>
        <v>#VALUE!</v>
      </c>
      <c r="E42" s="25">
        <v>1217.1300000000001</v>
      </c>
      <c r="F42" s="24" t="s">
        <v>252</v>
      </c>
      <c r="G42" s="24" t="s">
        <v>253</v>
      </c>
      <c r="H42" s="24" t="s">
        <v>152</v>
      </c>
      <c r="I42" s="26" t="e">
        <f t="shared" si="4"/>
        <v>#VALUE!</v>
      </c>
      <c r="J42" s="81" t="e">
        <f t="shared" si="2"/>
        <v>#VALUE!</v>
      </c>
    </row>
    <row r="43" spans="1:10" x14ac:dyDescent="0.2">
      <c r="A43" s="23" t="s">
        <v>254</v>
      </c>
      <c r="B43" s="24">
        <v>5582</v>
      </c>
      <c r="C43" s="24" t="s">
        <v>102</v>
      </c>
      <c r="D43" s="24" t="e">
        <f t="shared" si="3"/>
        <v>#VALUE!</v>
      </c>
      <c r="E43" s="25">
        <v>1194.76</v>
      </c>
      <c r="F43" s="24" t="s">
        <v>255</v>
      </c>
      <c r="G43" s="24" t="s">
        <v>256</v>
      </c>
      <c r="H43" s="24" t="s">
        <v>257</v>
      </c>
      <c r="I43" s="26" t="e">
        <f t="shared" si="4"/>
        <v>#VALUE!</v>
      </c>
      <c r="J43" s="81" t="e">
        <f t="shared" si="2"/>
        <v>#VALUE!</v>
      </c>
    </row>
    <row r="44" spans="1:10" x14ac:dyDescent="0.2">
      <c r="A44" s="23" t="s">
        <v>258</v>
      </c>
      <c r="B44" s="24">
        <v>3100</v>
      </c>
      <c r="C44" s="24" t="s">
        <v>102</v>
      </c>
      <c r="D44" s="24" t="e">
        <f t="shared" si="3"/>
        <v>#VALUE!</v>
      </c>
      <c r="E44" s="25">
        <v>1031.18</v>
      </c>
      <c r="F44" s="24" t="s">
        <v>259</v>
      </c>
      <c r="G44" s="24" t="s">
        <v>260</v>
      </c>
      <c r="H44" s="24" t="s">
        <v>261</v>
      </c>
      <c r="I44" s="26" t="e">
        <f t="shared" si="4"/>
        <v>#VALUE!</v>
      </c>
      <c r="J44" s="81" t="e">
        <f t="shared" si="2"/>
        <v>#VALUE!</v>
      </c>
    </row>
    <row r="45" spans="1:10" x14ac:dyDescent="0.2">
      <c r="A45" s="23" t="s">
        <v>262</v>
      </c>
      <c r="B45" s="24">
        <v>9220</v>
      </c>
      <c r="C45" s="24" t="s">
        <v>102</v>
      </c>
      <c r="D45" s="24" t="e">
        <f t="shared" si="3"/>
        <v>#VALUE!</v>
      </c>
      <c r="E45" s="25">
        <v>1189.4000000000001</v>
      </c>
      <c r="F45" s="24" t="s">
        <v>263</v>
      </c>
      <c r="G45" s="24" t="s">
        <v>264</v>
      </c>
      <c r="H45" s="24" t="s">
        <v>187</v>
      </c>
      <c r="I45" s="26" t="e">
        <f t="shared" si="4"/>
        <v>#VALUE!</v>
      </c>
      <c r="J45" s="81" t="e">
        <f t="shared" si="2"/>
        <v>#VALUE!</v>
      </c>
    </row>
    <row r="46" spans="1:10" x14ac:dyDescent="0.2">
      <c r="A46" s="23" t="s">
        <v>265</v>
      </c>
      <c r="B46" s="24">
        <v>9500</v>
      </c>
      <c r="C46" s="24" t="s">
        <v>102</v>
      </c>
      <c r="D46" s="24" t="e">
        <f t="shared" si="3"/>
        <v>#VALUE!</v>
      </c>
      <c r="E46" s="25">
        <v>1188.95</v>
      </c>
      <c r="F46" s="24" t="s">
        <v>263</v>
      </c>
      <c r="G46" s="24" t="s">
        <v>269</v>
      </c>
      <c r="H46" s="24" t="s">
        <v>187</v>
      </c>
      <c r="I46" s="26" t="e">
        <f t="shared" si="4"/>
        <v>#VALUE!</v>
      </c>
      <c r="J46" s="81" t="e">
        <f t="shared" si="2"/>
        <v>#VALUE!</v>
      </c>
    </row>
    <row r="47" spans="1:10" x14ac:dyDescent="0.2">
      <c r="A47" s="23" t="s">
        <v>270</v>
      </c>
      <c r="B47" s="24">
        <v>4600</v>
      </c>
      <c r="C47" s="24" t="s">
        <v>102</v>
      </c>
      <c r="D47" s="24" t="e">
        <f t="shared" si="3"/>
        <v>#VALUE!</v>
      </c>
      <c r="E47" s="25">
        <v>1036.5</v>
      </c>
      <c r="F47" s="24" t="s">
        <v>207</v>
      </c>
      <c r="G47" s="24" t="s">
        <v>271</v>
      </c>
      <c r="H47" s="24" t="s">
        <v>205</v>
      </c>
      <c r="I47" s="26" t="e">
        <f t="shared" si="4"/>
        <v>#VALUE!</v>
      </c>
      <c r="J47" s="81" t="e">
        <f t="shared" si="2"/>
        <v>#VALUE!</v>
      </c>
    </row>
    <row r="48" spans="1:10" x14ac:dyDescent="0.2">
      <c r="A48" s="23" t="s">
        <v>272</v>
      </c>
      <c r="B48" s="24">
        <v>3335</v>
      </c>
      <c r="C48" s="24" t="s">
        <v>102</v>
      </c>
      <c r="D48" s="24" t="e">
        <f t="shared" si="3"/>
        <v>#VALUE!</v>
      </c>
      <c r="E48" s="25">
        <v>1106.53</v>
      </c>
      <c r="F48" s="24" t="s">
        <v>273</v>
      </c>
      <c r="G48" s="24" t="s">
        <v>274</v>
      </c>
      <c r="H48" s="24" t="s">
        <v>213</v>
      </c>
      <c r="I48" s="26" t="e">
        <f t="shared" si="4"/>
        <v>#VALUE!</v>
      </c>
      <c r="J48" s="81" t="e">
        <f t="shared" si="2"/>
        <v>#VALUE!</v>
      </c>
    </row>
    <row r="49" spans="1:11" x14ac:dyDescent="0.2">
      <c r="A49" s="23" t="s">
        <v>1201</v>
      </c>
      <c r="B49" s="24">
        <v>1190</v>
      </c>
      <c r="C49" s="24" t="s">
        <v>102</v>
      </c>
      <c r="D49" s="24" t="e">
        <f t="shared" si="3"/>
        <v>#VALUE!</v>
      </c>
      <c r="E49" s="25">
        <v>1084.48</v>
      </c>
      <c r="F49" s="24" t="s">
        <v>1202</v>
      </c>
      <c r="G49" s="24" t="s">
        <v>1203</v>
      </c>
      <c r="H49" s="24" t="s">
        <v>261</v>
      </c>
      <c r="I49" s="26" t="e">
        <f t="shared" si="4"/>
        <v>#VALUE!</v>
      </c>
      <c r="J49" s="81" t="e">
        <f t="shared" si="2"/>
        <v>#VALUE!</v>
      </c>
    </row>
    <row r="50" spans="1:11" x14ac:dyDescent="0.2">
      <c r="A50" s="23" t="s">
        <v>1204</v>
      </c>
      <c r="B50" s="24">
        <v>2700</v>
      </c>
      <c r="C50" s="24" t="s">
        <v>102</v>
      </c>
      <c r="D50" s="24" t="e">
        <f t="shared" si="3"/>
        <v>#VALUE!</v>
      </c>
      <c r="E50" s="25">
        <v>1080.56</v>
      </c>
      <c r="F50" s="24" t="s">
        <v>1205</v>
      </c>
      <c r="G50" s="24" t="s">
        <v>1206</v>
      </c>
      <c r="H50" s="24" t="s">
        <v>250</v>
      </c>
      <c r="I50" s="26" t="e">
        <f t="shared" si="4"/>
        <v>#VALUE!</v>
      </c>
      <c r="J50" s="81" t="e">
        <f t="shared" si="2"/>
        <v>#VALUE!</v>
      </c>
    </row>
    <row r="51" spans="1:11" x14ac:dyDescent="0.2">
      <c r="A51" s="23" t="s">
        <v>1207</v>
      </c>
      <c r="B51" s="24">
        <v>9400</v>
      </c>
      <c r="C51" s="24" t="s">
        <v>102</v>
      </c>
      <c r="D51" s="24" t="e">
        <f t="shared" si="3"/>
        <v>#VALUE!</v>
      </c>
      <c r="E51" s="25">
        <v>1066.68</v>
      </c>
      <c r="F51" s="24" t="s">
        <v>1208</v>
      </c>
      <c r="G51" s="24" t="s">
        <v>109</v>
      </c>
      <c r="H51" s="24" t="s">
        <v>1209</v>
      </c>
      <c r="I51" s="26" t="e">
        <f t="shared" si="4"/>
        <v>#VALUE!</v>
      </c>
      <c r="J51" s="81" t="e">
        <f t="shared" si="2"/>
        <v>#VALUE!</v>
      </c>
    </row>
    <row r="52" spans="1:11" x14ac:dyDescent="0.2">
      <c r="A52" s="23" t="s">
        <v>1210</v>
      </c>
      <c r="B52" s="24">
        <v>5700</v>
      </c>
      <c r="C52" s="24" t="s">
        <v>102</v>
      </c>
      <c r="D52" s="24" t="e">
        <f t="shared" si="3"/>
        <v>#VALUE!</v>
      </c>
      <c r="E52" s="25">
        <v>1080.32</v>
      </c>
      <c r="F52" s="24" t="s">
        <v>255</v>
      </c>
      <c r="G52" s="24" t="s">
        <v>1211</v>
      </c>
      <c r="H52" s="24" t="s">
        <v>1212</v>
      </c>
      <c r="I52" s="26" t="e">
        <f t="shared" si="4"/>
        <v>#VALUE!</v>
      </c>
      <c r="J52" s="81" t="e">
        <f t="shared" si="2"/>
        <v>#VALUE!</v>
      </c>
    </row>
    <row r="53" spans="1:11" ht="13.6" thickBot="1" x14ac:dyDescent="0.25">
      <c r="A53" s="33" t="s">
        <v>1213</v>
      </c>
      <c r="B53" s="34">
        <v>3910</v>
      </c>
      <c r="C53" s="34" t="s">
        <v>102</v>
      </c>
      <c r="D53" s="34" t="e">
        <f t="shared" si="3"/>
        <v>#VALUE!</v>
      </c>
      <c r="E53" s="35">
        <v>1051.52</v>
      </c>
      <c r="F53" s="34" t="s">
        <v>1214</v>
      </c>
      <c r="G53" s="34" t="s">
        <v>1215</v>
      </c>
      <c r="H53" s="34" t="s">
        <v>1216</v>
      </c>
      <c r="I53" s="36" t="e">
        <f t="shared" si="4"/>
        <v>#VALUE!</v>
      </c>
      <c r="J53" s="81" t="e">
        <f t="shared" si="2"/>
        <v>#VALUE!</v>
      </c>
    </row>
    <row r="54" spans="1:11" ht="14.3" thickBot="1" x14ac:dyDescent="0.3">
      <c r="H54" s="6" t="s">
        <v>1200</v>
      </c>
      <c r="I54" s="37" t="e">
        <f>SUM(I3:I53)</f>
        <v>#VALUE!</v>
      </c>
      <c r="J54" s="81" t="e">
        <f>SUM(J3:J53)</f>
        <v>#VALUE!</v>
      </c>
      <c r="K54" s="81" t="e">
        <f>I54/J54</f>
        <v>#VALUE!</v>
      </c>
    </row>
  </sheetData>
  <sheetProtection selectLockedCells="1" selectUnlockedCells="1"/>
  <phoneticPr fontId="0" type="noConversion"/>
  <printOptions horizontalCentered="1"/>
  <pageMargins left="0.78740157480314965" right="0.78740157480314965" top="0.98425196850393704" bottom="0.98425196850393704" header="0.51181102362204722" footer="0.51181102362204722"/>
  <pageSetup paperSize="9" scale="60" orientation="landscape"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22"/>
  </sheetPr>
  <dimension ref="A1:L2460"/>
  <sheetViews>
    <sheetView topLeftCell="A31" zoomScale="75" workbookViewId="0">
      <selection activeCell="J5" sqref="J5"/>
    </sheetView>
  </sheetViews>
  <sheetFormatPr baseColWidth="10" defaultColWidth="11.375" defaultRowHeight="12.9" x14ac:dyDescent="0.2"/>
  <cols>
    <col min="1" max="1" width="6.875" style="5" customWidth="1"/>
    <col min="2" max="2" width="30.25" style="59" customWidth="1"/>
    <col min="3" max="3" width="12.25" style="5" customWidth="1"/>
    <col min="4" max="4" width="17.375" style="61" customWidth="1"/>
    <col min="5" max="5" width="14.75" style="61" customWidth="1"/>
    <col min="6" max="6" width="13.75" style="61" customWidth="1"/>
    <col min="7" max="7" width="9.25" style="61" bestFit="1" customWidth="1"/>
    <col min="8" max="9" width="11.375" style="3"/>
    <col min="10" max="10" width="11.875" style="3" customWidth="1"/>
    <col min="11" max="13" width="11.375" style="3"/>
    <col min="14" max="14" width="3.75" style="3" bestFit="1" customWidth="1"/>
    <col min="15" max="15" width="30.875" style="3" bestFit="1" customWidth="1"/>
    <col min="16" max="16384" width="11.375" style="3"/>
  </cols>
  <sheetData>
    <row r="1" spans="1:12" ht="14.3" thickBot="1" x14ac:dyDescent="0.3">
      <c r="A1" s="75" t="s">
        <v>90</v>
      </c>
      <c r="B1" s="76" t="s">
        <v>89</v>
      </c>
      <c r="C1" s="75" t="s">
        <v>1217</v>
      </c>
      <c r="D1" s="77" t="s">
        <v>1218</v>
      </c>
      <c r="E1" s="77" t="s">
        <v>1219</v>
      </c>
      <c r="F1" s="77" t="s">
        <v>1220</v>
      </c>
      <c r="G1" s="77" t="s">
        <v>1221</v>
      </c>
    </row>
    <row r="2" spans="1:12" x14ac:dyDescent="0.2">
      <c r="A2" s="39"/>
      <c r="B2" s="38"/>
      <c r="C2" s="39"/>
      <c r="D2" s="74"/>
      <c r="E2" s="74"/>
      <c r="F2" s="74"/>
      <c r="G2" s="74"/>
      <c r="I2" s="40" t="s">
        <v>715</v>
      </c>
      <c r="J2" s="41"/>
      <c r="K2" s="41"/>
      <c r="L2" s="42"/>
    </row>
    <row r="3" spans="1:12" x14ac:dyDescent="0.2">
      <c r="A3" s="39">
        <v>1004</v>
      </c>
      <c r="B3" s="38" t="s">
        <v>1201</v>
      </c>
      <c r="C3" s="39" t="s">
        <v>1222</v>
      </c>
      <c r="D3" s="74" t="s">
        <v>1223</v>
      </c>
      <c r="E3" s="74" t="s">
        <v>1224</v>
      </c>
      <c r="F3" s="74" t="s">
        <v>1225</v>
      </c>
      <c r="G3" s="74" t="s">
        <v>1226</v>
      </c>
      <c r="I3" s="43" t="str">
        <f>Eingabe!M12</f>
        <v>VW Golf - Benzin</v>
      </c>
      <c r="J3" s="44" t="e">
        <f>VLOOKUP(I3,A3:C2460,3,TRUE)</f>
        <v>#N/A</v>
      </c>
      <c r="K3" s="44"/>
      <c r="L3" s="45"/>
    </row>
    <row r="4" spans="1:12" x14ac:dyDescent="0.2">
      <c r="A4" s="39">
        <v>1010</v>
      </c>
      <c r="B4" s="38" t="s">
        <v>1201</v>
      </c>
      <c r="C4" s="39" t="s">
        <v>1222</v>
      </c>
      <c r="D4" s="74" t="s">
        <v>1227</v>
      </c>
      <c r="E4" s="74" t="s">
        <v>1224</v>
      </c>
      <c r="F4" s="74" t="s">
        <v>1226</v>
      </c>
      <c r="G4" s="74" t="s">
        <v>1226</v>
      </c>
      <c r="I4" s="43"/>
      <c r="J4" s="44" t="e">
        <f>VLOOKUP(J3,I7:J15,2,TRUE)</f>
        <v>#N/A</v>
      </c>
      <c r="K4" s="44"/>
      <c r="L4" s="45"/>
    </row>
    <row r="5" spans="1:12" ht="13.6" thickBot="1" x14ac:dyDescent="0.25">
      <c r="A5" s="39">
        <v>1011</v>
      </c>
      <c r="B5" s="38" t="s">
        <v>1228</v>
      </c>
      <c r="C5" s="39" t="s">
        <v>1222</v>
      </c>
      <c r="D5" s="74" t="s">
        <v>1229</v>
      </c>
      <c r="E5" s="74" t="s">
        <v>1224</v>
      </c>
      <c r="F5" s="74" t="s">
        <v>1225</v>
      </c>
      <c r="G5" s="74" t="s">
        <v>1226</v>
      </c>
      <c r="I5" s="46"/>
      <c r="J5" s="47" t="e">
        <f>VLOOKUP(I3,A3:C2460,2,FALSE)</f>
        <v>#N/A</v>
      </c>
      <c r="K5" s="47"/>
      <c r="L5" s="48"/>
    </row>
    <row r="6" spans="1:12" x14ac:dyDescent="0.2">
      <c r="A6" s="39">
        <v>1012</v>
      </c>
      <c r="B6" s="38" t="s">
        <v>1201</v>
      </c>
      <c r="C6" s="39" t="s">
        <v>1222</v>
      </c>
      <c r="D6" s="74" t="s">
        <v>1229</v>
      </c>
      <c r="E6" s="74" t="s">
        <v>1224</v>
      </c>
      <c r="F6" s="74" t="s">
        <v>1225</v>
      </c>
      <c r="G6" s="74" t="s">
        <v>1226</v>
      </c>
    </row>
    <row r="7" spans="1:12" x14ac:dyDescent="0.2">
      <c r="A7" s="39">
        <v>1013</v>
      </c>
      <c r="B7" s="38" t="s">
        <v>1201</v>
      </c>
      <c r="C7" s="39" t="s">
        <v>1222</v>
      </c>
      <c r="D7" s="74" t="s">
        <v>1229</v>
      </c>
      <c r="E7" s="74" t="s">
        <v>1224</v>
      </c>
      <c r="F7" s="74" t="s">
        <v>1225</v>
      </c>
      <c r="G7" s="74" t="s">
        <v>1226</v>
      </c>
      <c r="I7" s="5" t="s">
        <v>1748</v>
      </c>
      <c r="J7" s="3" t="s">
        <v>1973</v>
      </c>
    </row>
    <row r="8" spans="1:12" x14ac:dyDescent="0.2">
      <c r="A8" s="39">
        <v>1014</v>
      </c>
      <c r="B8" s="38" t="s">
        <v>1201</v>
      </c>
      <c r="C8" s="39" t="s">
        <v>1222</v>
      </c>
      <c r="D8" s="74" t="s">
        <v>1229</v>
      </c>
      <c r="E8" s="74" t="s">
        <v>1224</v>
      </c>
      <c r="F8" s="74" t="s">
        <v>1225</v>
      </c>
      <c r="G8" s="74" t="s">
        <v>1226</v>
      </c>
      <c r="I8" s="5" t="s">
        <v>1433</v>
      </c>
      <c r="J8" s="3" t="s">
        <v>757</v>
      </c>
    </row>
    <row r="9" spans="1:12" x14ac:dyDescent="0.2">
      <c r="A9" s="39">
        <v>1015</v>
      </c>
      <c r="B9" s="38" t="s">
        <v>1201</v>
      </c>
      <c r="C9" s="39" t="s">
        <v>1222</v>
      </c>
      <c r="D9" s="74" t="s">
        <v>1229</v>
      </c>
      <c r="E9" s="74" t="s">
        <v>1224</v>
      </c>
      <c r="F9" s="74" t="s">
        <v>1225</v>
      </c>
      <c r="G9" s="74" t="s">
        <v>1226</v>
      </c>
      <c r="I9" s="5" t="s">
        <v>1239</v>
      </c>
      <c r="J9" s="3" t="s">
        <v>1972</v>
      </c>
    </row>
    <row r="10" spans="1:12" x14ac:dyDescent="0.2">
      <c r="A10" s="39">
        <v>1016</v>
      </c>
      <c r="B10" s="38" t="s">
        <v>1201</v>
      </c>
      <c r="C10" s="39" t="s">
        <v>1222</v>
      </c>
      <c r="D10" s="74" t="s">
        <v>1229</v>
      </c>
      <c r="E10" s="74" t="s">
        <v>1224</v>
      </c>
      <c r="F10" s="74" t="s">
        <v>1225</v>
      </c>
      <c r="G10" s="74" t="s">
        <v>1226</v>
      </c>
      <c r="I10" s="5" t="s">
        <v>509</v>
      </c>
      <c r="J10" s="3" t="s">
        <v>758</v>
      </c>
    </row>
    <row r="11" spans="1:12" x14ac:dyDescent="0.2">
      <c r="A11" s="39">
        <v>1017</v>
      </c>
      <c r="B11" s="38" t="s">
        <v>1230</v>
      </c>
      <c r="C11" s="39" t="s">
        <v>1222</v>
      </c>
      <c r="D11" s="74" t="s">
        <v>1229</v>
      </c>
      <c r="E11" s="74" t="s">
        <v>1224</v>
      </c>
      <c r="F11" s="74" t="s">
        <v>1225</v>
      </c>
      <c r="G11" s="74" t="s">
        <v>1226</v>
      </c>
      <c r="I11" s="5" t="s">
        <v>654</v>
      </c>
      <c r="J11" s="3" t="s">
        <v>248</v>
      </c>
    </row>
    <row r="12" spans="1:12" x14ac:dyDescent="0.2">
      <c r="A12" s="39">
        <v>1018</v>
      </c>
      <c r="B12" s="38" t="s">
        <v>1201</v>
      </c>
      <c r="C12" s="39" t="s">
        <v>1222</v>
      </c>
      <c r="D12" s="74" t="s">
        <v>1229</v>
      </c>
      <c r="E12" s="74" t="s">
        <v>1224</v>
      </c>
      <c r="F12" s="74" t="s">
        <v>1225</v>
      </c>
      <c r="G12" s="74" t="s">
        <v>1226</v>
      </c>
      <c r="I12" s="5" t="s">
        <v>2467</v>
      </c>
      <c r="J12" s="3" t="s">
        <v>759</v>
      </c>
    </row>
    <row r="13" spans="1:12" x14ac:dyDescent="0.2">
      <c r="A13" s="39">
        <v>1020</v>
      </c>
      <c r="B13" s="38" t="s">
        <v>1201</v>
      </c>
      <c r="C13" s="39" t="s">
        <v>1222</v>
      </c>
      <c r="D13" s="74" t="s">
        <v>1227</v>
      </c>
      <c r="E13" s="74" t="s">
        <v>1224</v>
      </c>
      <c r="F13" s="74" t="s">
        <v>1226</v>
      </c>
      <c r="G13" s="74" t="s">
        <v>1226</v>
      </c>
      <c r="I13" s="5" t="s">
        <v>839</v>
      </c>
      <c r="J13" s="3" t="s">
        <v>760</v>
      </c>
    </row>
    <row r="14" spans="1:12" x14ac:dyDescent="0.2">
      <c r="A14" s="39">
        <v>1021</v>
      </c>
      <c r="B14" s="38" t="s">
        <v>1228</v>
      </c>
      <c r="C14" s="39" t="s">
        <v>1222</v>
      </c>
      <c r="D14" s="74" t="s">
        <v>1229</v>
      </c>
      <c r="E14" s="74" t="s">
        <v>1224</v>
      </c>
      <c r="F14" s="74" t="s">
        <v>1225</v>
      </c>
      <c r="G14" s="74" t="s">
        <v>1226</v>
      </c>
      <c r="I14" s="5" t="s">
        <v>1036</v>
      </c>
      <c r="J14" s="3" t="s">
        <v>761</v>
      </c>
    </row>
    <row r="15" spans="1:12" x14ac:dyDescent="0.2">
      <c r="A15" s="39">
        <v>1022</v>
      </c>
      <c r="B15" s="38" t="s">
        <v>1201</v>
      </c>
      <c r="C15" s="39" t="s">
        <v>1222</v>
      </c>
      <c r="D15" s="74" t="s">
        <v>1229</v>
      </c>
      <c r="E15" s="74" t="s">
        <v>1224</v>
      </c>
      <c r="F15" s="74" t="s">
        <v>1225</v>
      </c>
      <c r="G15" s="74" t="s">
        <v>1226</v>
      </c>
      <c r="I15" s="5" t="s">
        <v>1222</v>
      </c>
      <c r="J15" s="3" t="s">
        <v>1201</v>
      </c>
    </row>
    <row r="16" spans="1:12" x14ac:dyDescent="0.2">
      <c r="A16" s="39">
        <v>1023</v>
      </c>
      <c r="B16" s="38" t="s">
        <v>1201</v>
      </c>
      <c r="C16" s="39" t="s">
        <v>1222</v>
      </c>
      <c r="D16" s="74" t="s">
        <v>1229</v>
      </c>
      <c r="E16" s="74" t="s">
        <v>1224</v>
      </c>
      <c r="F16" s="74" t="s">
        <v>1225</v>
      </c>
      <c r="G16" s="74" t="s">
        <v>1226</v>
      </c>
    </row>
    <row r="17" spans="1:7" x14ac:dyDescent="0.2">
      <c r="A17" s="39">
        <v>1024</v>
      </c>
      <c r="B17" s="38" t="s">
        <v>1201</v>
      </c>
      <c r="C17" s="39" t="s">
        <v>1222</v>
      </c>
      <c r="D17" s="74" t="s">
        <v>1229</v>
      </c>
      <c r="E17" s="74" t="s">
        <v>1224</v>
      </c>
      <c r="F17" s="74" t="s">
        <v>1225</v>
      </c>
      <c r="G17" s="74" t="s">
        <v>1226</v>
      </c>
    </row>
    <row r="18" spans="1:7" x14ac:dyDescent="0.2">
      <c r="A18" s="39">
        <v>1025</v>
      </c>
      <c r="B18" s="38" t="s">
        <v>1201</v>
      </c>
      <c r="C18" s="39" t="s">
        <v>1222</v>
      </c>
      <c r="D18" s="74" t="s">
        <v>1229</v>
      </c>
      <c r="E18" s="74" t="s">
        <v>1224</v>
      </c>
      <c r="F18" s="74" t="s">
        <v>1225</v>
      </c>
      <c r="G18" s="74" t="s">
        <v>1226</v>
      </c>
    </row>
    <row r="19" spans="1:7" x14ac:dyDescent="0.2">
      <c r="A19" s="39">
        <v>1029</v>
      </c>
      <c r="B19" s="38" t="s">
        <v>1201</v>
      </c>
      <c r="C19" s="39" t="s">
        <v>1222</v>
      </c>
      <c r="D19" s="74" t="s">
        <v>1223</v>
      </c>
      <c r="E19" s="74" t="s">
        <v>1224</v>
      </c>
      <c r="F19" s="74" t="s">
        <v>1225</v>
      </c>
      <c r="G19" s="74" t="s">
        <v>1226</v>
      </c>
    </row>
    <row r="20" spans="1:7" x14ac:dyDescent="0.2">
      <c r="A20" s="39">
        <v>1030</v>
      </c>
      <c r="B20" s="38" t="s">
        <v>1201</v>
      </c>
      <c r="C20" s="39" t="s">
        <v>1222</v>
      </c>
      <c r="D20" s="74" t="s">
        <v>1227</v>
      </c>
      <c r="E20" s="74" t="s">
        <v>1224</v>
      </c>
      <c r="F20" s="74" t="s">
        <v>1226</v>
      </c>
      <c r="G20" s="74" t="s">
        <v>1226</v>
      </c>
    </row>
    <row r="21" spans="1:7" x14ac:dyDescent="0.2">
      <c r="A21" s="39">
        <v>1031</v>
      </c>
      <c r="B21" s="38" t="s">
        <v>1228</v>
      </c>
      <c r="C21" s="39" t="s">
        <v>1222</v>
      </c>
      <c r="D21" s="74" t="s">
        <v>1229</v>
      </c>
      <c r="E21" s="74" t="s">
        <v>1224</v>
      </c>
      <c r="F21" s="74" t="s">
        <v>1225</v>
      </c>
      <c r="G21" s="74" t="s">
        <v>1226</v>
      </c>
    </row>
    <row r="22" spans="1:7" x14ac:dyDescent="0.2">
      <c r="A22" s="39">
        <v>1033</v>
      </c>
      <c r="B22" s="38" t="s">
        <v>1201</v>
      </c>
      <c r="C22" s="39" t="s">
        <v>1222</v>
      </c>
      <c r="D22" s="74" t="s">
        <v>1229</v>
      </c>
      <c r="E22" s="74" t="s">
        <v>1224</v>
      </c>
      <c r="F22" s="74" t="s">
        <v>1225</v>
      </c>
      <c r="G22" s="74" t="s">
        <v>1226</v>
      </c>
    </row>
    <row r="23" spans="1:7" x14ac:dyDescent="0.2">
      <c r="A23" s="39">
        <v>1034</v>
      </c>
      <c r="B23" s="38" t="s">
        <v>1201</v>
      </c>
      <c r="C23" s="39" t="s">
        <v>1222</v>
      </c>
      <c r="D23" s="74" t="s">
        <v>1229</v>
      </c>
      <c r="E23" s="74" t="s">
        <v>1224</v>
      </c>
      <c r="F23" s="74" t="s">
        <v>1225</v>
      </c>
      <c r="G23" s="74" t="s">
        <v>1226</v>
      </c>
    </row>
    <row r="24" spans="1:7" x14ac:dyDescent="0.2">
      <c r="A24" s="39">
        <v>1035</v>
      </c>
      <c r="B24" s="38" t="s">
        <v>1201</v>
      </c>
      <c r="C24" s="39" t="s">
        <v>1222</v>
      </c>
      <c r="D24" s="74" t="s">
        <v>1229</v>
      </c>
      <c r="E24" s="74" t="s">
        <v>1224</v>
      </c>
      <c r="F24" s="74" t="s">
        <v>1225</v>
      </c>
      <c r="G24" s="74" t="s">
        <v>1226</v>
      </c>
    </row>
    <row r="25" spans="1:7" x14ac:dyDescent="0.2">
      <c r="A25" s="39">
        <v>1036</v>
      </c>
      <c r="B25" s="38" t="s">
        <v>1201</v>
      </c>
      <c r="C25" s="39" t="s">
        <v>1222</v>
      </c>
      <c r="D25" s="74" t="s">
        <v>1229</v>
      </c>
      <c r="E25" s="74" t="s">
        <v>1224</v>
      </c>
      <c r="F25" s="74" t="s">
        <v>1225</v>
      </c>
      <c r="G25" s="74" t="s">
        <v>1226</v>
      </c>
    </row>
    <row r="26" spans="1:7" x14ac:dyDescent="0.2">
      <c r="A26" s="39">
        <v>1037</v>
      </c>
      <c r="B26" s="38" t="s">
        <v>1201</v>
      </c>
      <c r="C26" s="39" t="s">
        <v>1222</v>
      </c>
      <c r="D26" s="74" t="s">
        <v>1229</v>
      </c>
      <c r="E26" s="74" t="s">
        <v>1224</v>
      </c>
      <c r="F26" s="74" t="s">
        <v>1225</v>
      </c>
      <c r="G26" s="74" t="s">
        <v>1226</v>
      </c>
    </row>
    <row r="27" spans="1:7" x14ac:dyDescent="0.2">
      <c r="A27" s="39">
        <v>1038</v>
      </c>
      <c r="B27" s="38" t="s">
        <v>1201</v>
      </c>
      <c r="C27" s="39" t="s">
        <v>1222</v>
      </c>
      <c r="D27" s="74" t="s">
        <v>1223</v>
      </c>
      <c r="E27" s="74" t="s">
        <v>1224</v>
      </c>
      <c r="F27" s="74" t="s">
        <v>1225</v>
      </c>
      <c r="G27" s="74" t="s">
        <v>1226</v>
      </c>
    </row>
    <row r="28" spans="1:7" x14ac:dyDescent="0.2">
      <c r="A28" s="39">
        <v>1039</v>
      </c>
      <c r="B28" s="38" t="s">
        <v>1201</v>
      </c>
      <c r="C28" s="39" t="s">
        <v>1222</v>
      </c>
      <c r="D28" s="74" t="s">
        <v>1223</v>
      </c>
      <c r="E28" s="74" t="s">
        <v>1224</v>
      </c>
      <c r="F28" s="74" t="s">
        <v>1225</v>
      </c>
      <c r="G28" s="74" t="s">
        <v>1226</v>
      </c>
    </row>
    <row r="29" spans="1:7" x14ac:dyDescent="0.2">
      <c r="A29" s="39">
        <v>1040</v>
      </c>
      <c r="B29" s="38" t="s">
        <v>1201</v>
      </c>
      <c r="C29" s="39" t="s">
        <v>1222</v>
      </c>
      <c r="D29" s="74" t="s">
        <v>1227</v>
      </c>
      <c r="E29" s="74" t="s">
        <v>1224</v>
      </c>
      <c r="F29" s="74" t="s">
        <v>1226</v>
      </c>
      <c r="G29" s="74" t="s">
        <v>1226</v>
      </c>
    </row>
    <row r="30" spans="1:7" x14ac:dyDescent="0.2">
      <c r="A30" s="39">
        <v>1041</v>
      </c>
      <c r="B30" s="38" t="s">
        <v>1228</v>
      </c>
      <c r="C30" s="39" t="s">
        <v>1222</v>
      </c>
      <c r="D30" s="74" t="s">
        <v>1229</v>
      </c>
      <c r="E30" s="74" t="s">
        <v>1224</v>
      </c>
      <c r="F30" s="74" t="s">
        <v>1225</v>
      </c>
      <c r="G30" s="74" t="s">
        <v>1226</v>
      </c>
    </row>
    <row r="31" spans="1:7" x14ac:dyDescent="0.2">
      <c r="A31" s="39">
        <v>1042</v>
      </c>
      <c r="B31" s="38" t="s">
        <v>1201</v>
      </c>
      <c r="C31" s="39" t="s">
        <v>1222</v>
      </c>
      <c r="D31" s="74" t="s">
        <v>1229</v>
      </c>
      <c r="E31" s="74" t="s">
        <v>1224</v>
      </c>
      <c r="F31" s="74" t="s">
        <v>1225</v>
      </c>
      <c r="G31" s="74" t="s">
        <v>1226</v>
      </c>
    </row>
    <row r="32" spans="1:7" x14ac:dyDescent="0.2">
      <c r="A32" s="39">
        <v>1043</v>
      </c>
      <c r="B32" s="38" t="s">
        <v>1201</v>
      </c>
      <c r="C32" s="39" t="s">
        <v>1222</v>
      </c>
      <c r="D32" s="74" t="s">
        <v>1229</v>
      </c>
      <c r="E32" s="74" t="s">
        <v>1224</v>
      </c>
      <c r="F32" s="74" t="s">
        <v>1225</v>
      </c>
      <c r="G32" s="74" t="s">
        <v>1226</v>
      </c>
    </row>
    <row r="33" spans="1:7" x14ac:dyDescent="0.2">
      <c r="A33" s="39">
        <v>1045</v>
      </c>
      <c r="B33" s="38" t="s">
        <v>1201</v>
      </c>
      <c r="C33" s="39" t="s">
        <v>1222</v>
      </c>
      <c r="D33" s="74" t="s">
        <v>1223</v>
      </c>
      <c r="E33" s="74" t="s">
        <v>1224</v>
      </c>
      <c r="F33" s="74" t="s">
        <v>1225</v>
      </c>
      <c r="G33" s="74" t="s">
        <v>1226</v>
      </c>
    </row>
    <row r="34" spans="1:7" x14ac:dyDescent="0.2">
      <c r="A34" s="39">
        <v>1050</v>
      </c>
      <c r="B34" s="38" t="s">
        <v>1201</v>
      </c>
      <c r="C34" s="39" t="s">
        <v>1222</v>
      </c>
      <c r="D34" s="74" t="s">
        <v>1227</v>
      </c>
      <c r="E34" s="74" t="s">
        <v>1224</v>
      </c>
      <c r="F34" s="74" t="s">
        <v>1226</v>
      </c>
      <c r="G34" s="74" t="s">
        <v>1226</v>
      </c>
    </row>
    <row r="35" spans="1:7" x14ac:dyDescent="0.2">
      <c r="A35" s="39">
        <v>1051</v>
      </c>
      <c r="B35" s="38" t="s">
        <v>1228</v>
      </c>
      <c r="C35" s="39" t="s">
        <v>1222</v>
      </c>
      <c r="D35" s="74" t="s">
        <v>1229</v>
      </c>
      <c r="E35" s="74" t="s">
        <v>1224</v>
      </c>
      <c r="F35" s="74" t="s">
        <v>1225</v>
      </c>
      <c r="G35" s="74" t="s">
        <v>1226</v>
      </c>
    </row>
    <row r="36" spans="1:7" x14ac:dyDescent="0.2">
      <c r="A36" s="39">
        <v>1052</v>
      </c>
      <c r="B36" s="38" t="s">
        <v>1201</v>
      </c>
      <c r="C36" s="39" t="s">
        <v>1222</v>
      </c>
      <c r="D36" s="74" t="s">
        <v>1229</v>
      </c>
      <c r="E36" s="74" t="s">
        <v>1224</v>
      </c>
      <c r="F36" s="74" t="s">
        <v>1225</v>
      </c>
      <c r="G36" s="74" t="s">
        <v>1226</v>
      </c>
    </row>
    <row r="37" spans="1:7" x14ac:dyDescent="0.2">
      <c r="A37" s="39">
        <v>1053</v>
      </c>
      <c r="B37" s="38" t="s">
        <v>1201</v>
      </c>
      <c r="C37" s="39" t="s">
        <v>1222</v>
      </c>
      <c r="D37" s="74" t="s">
        <v>1229</v>
      </c>
      <c r="E37" s="74" t="s">
        <v>1224</v>
      </c>
      <c r="F37" s="74" t="s">
        <v>1225</v>
      </c>
      <c r="G37" s="74" t="s">
        <v>1226</v>
      </c>
    </row>
    <row r="38" spans="1:7" x14ac:dyDescent="0.2">
      <c r="A38" s="39">
        <v>1060</v>
      </c>
      <c r="B38" s="38" t="s">
        <v>1201</v>
      </c>
      <c r="C38" s="39" t="s">
        <v>1222</v>
      </c>
      <c r="D38" s="74" t="s">
        <v>1227</v>
      </c>
      <c r="E38" s="74" t="s">
        <v>1224</v>
      </c>
      <c r="F38" s="74" t="s">
        <v>1226</v>
      </c>
      <c r="G38" s="74" t="s">
        <v>1226</v>
      </c>
    </row>
    <row r="39" spans="1:7" x14ac:dyDescent="0.2">
      <c r="A39" s="39">
        <v>1061</v>
      </c>
      <c r="B39" s="38" t="s">
        <v>1228</v>
      </c>
      <c r="C39" s="39" t="s">
        <v>1222</v>
      </c>
      <c r="D39" s="74" t="s">
        <v>1229</v>
      </c>
      <c r="E39" s="74" t="s">
        <v>1224</v>
      </c>
      <c r="F39" s="74" t="s">
        <v>1225</v>
      </c>
      <c r="G39" s="74" t="s">
        <v>1226</v>
      </c>
    </row>
    <row r="40" spans="1:7" x14ac:dyDescent="0.2">
      <c r="A40" s="39">
        <v>1062</v>
      </c>
      <c r="B40" s="38" t="s">
        <v>1201</v>
      </c>
      <c r="C40" s="39" t="s">
        <v>1222</v>
      </c>
      <c r="D40" s="74" t="s">
        <v>1229</v>
      </c>
      <c r="E40" s="74" t="s">
        <v>1224</v>
      </c>
      <c r="F40" s="74" t="s">
        <v>1225</v>
      </c>
      <c r="G40" s="74" t="s">
        <v>1226</v>
      </c>
    </row>
    <row r="41" spans="1:7" x14ac:dyDescent="0.2">
      <c r="A41" s="39">
        <v>1063</v>
      </c>
      <c r="B41" s="38" t="s">
        <v>1231</v>
      </c>
      <c r="C41" s="39" t="s">
        <v>1222</v>
      </c>
      <c r="D41" s="74" t="s">
        <v>1223</v>
      </c>
      <c r="E41" s="74" t="s">
        <v>1224</v>
      </c>
      <c r="F41" s="74" t="s">
        <v>1225</v>
      </c>
      <c r="G41" s="74" t="s">
        <v>1226</v>
      </c>
    </row>
    <row r="42" spans="1:7" x14ac:dyDescent="0.2">
      <c r="A42" s="39">
        <v>1070</v>
      </c>
      <c r="B42" s="38" t="s">
        <v>1201</v>
      </c>
      <c r="C42" s="39" t="s">
        <v>1222</v>
      </c>
      <c r="D42" s="74" t="s">
        <v>1227</v>
      </c>
      <c r="E42" s="74" t="s">
        <v>1224</v>
      </c>
      <c r="F42" s="74" t="s">
        <v>1226</v>
      </c>
      <c r="G42" s="74" t="s">
        <v>1226</v>
      </c>
    </row>
    <row r="43" spans="1:7" x14ac:dyDescent="0.2">
      <c r="A43" s="39">
        <v>1071</v>
      </c>
      <c r="B43" s="38" t="s">
        <v>1228</v>
      </c>
      <c r="C43" s="39" t="s">
        <v>1222</v>
      </c>
      <c r="D43" s="74" t="s">
        <v>1229</v>
      </c>
      <c r="E43" s="74" t="s">
        <v>1224</v>
      </c>
      <c r="F43" s="74" t="s">
        <v>1225</v>
      </c>
      <c r="G43" s="74" t="s">
        <v>1226</v>
      </c>
    </row>
    <row r="44" spans="1:7" x14ac:dyDescent="0.2">
      <c r="A44" s="39">
        <v>1072</v>
      </c>
      <c r="B44" s="38" t="s">
        <v>1201</v>
      </c>
      <c r="C44" s="39" t="s">
        <v>1222</v>
      </c>
      <c r="D44" s="74" t="s">
        <v>1229</v>
      </c>
      <c r="E44" s="74" t="s">
        <v>1224</v>
      </c>
      <c r="F44" s="74" t="s">
        <v>1225</v>
      </c>
      <c r="G44" s="74" t="s">
        <v>1226</v>
      </c>
    </row>
    <row r="45" spans="1:7" x14ac:dyDescent="0.2">
      <c r="A45" s="39">
        <v>1080</v>
      </c>
      <c r="B45" s="38" t="s">
        <v>1201</v>
      </c>
      <c r="C45" s="39" t="s">
        <v>1222</v>
      </c>
      <c r="D45" s="74" t="s">
        <v>1227</v>
      </c>
      <c r="E45" s="74" t="s">
        <v>1224</v>
      </c>
      <c r="F45" s="74" t="s">
        <v>1226</v>
      </c>
      <c r="G45" s="74" t="s">
        <v>1226</v>
      </c>
    </row>
    <row r="46" spans="1:7" x14ac:dyDescent="0.2">
      <c r="A46" s="39">
        <v>1081</v>
      </c>
      <c r="B46" s="38" t="s">
        <v>1228</v>
      </c>
      <c r="C46" s="39" t="s">
        <v>1222</v>
      </c>
      <c r="D46" s="74" t="s">
        <v>1229</v>
      </c>
      <c r="E46" s="74" t="s">
        <v>1224</v>
      </c>
      <c r="F46" s="74" t="s">
        <v>1225</v>
      </c>
      <c r="G46" s="74" t="s">
        <v>1226</v>
      </c>
    </row>
    <row r="47" spans="1:7" x14ac:dyDescent="0.2">
      <c r="A47" s="39">
        <v>1082</v>
      </c>
      <c r="B47" s="38" t="s">
        <v>1201</v>
      </c>
      <c r="C47" s="39" t="s">
        <v>1222</v>
      </c>
      <c r="D47" s="74" t="s">
        <v>1229</v>
      </c>
      <c r="E47" s="74" t="s">
        <v>1224</v>
      </c>
      <c r="F47" s="74" t="s">
        <v>1225</v>
      </c>
      <c r="G47" s="74" t="s">
        <v>1226</v>
      </c>
    </row>
    <row r="48" spans="1:7" x14ac:dyDescent="0.2">
      <c r="A48" s="39">
        <v>1090</v>
      </c>
      <c r="B48" s="38" t="s">
        <v>1201</v>
      </c>
      <c r="C48" s="39" t="s">
        <v>1222</v>
      </c>
      <c r="D48" s="74" t="s">
        <v>1227</v>
      </c>
      <c r="E48" s="74" t="s">
        <v>1224</v>
      </c>
      <c r="F48" s="74" t="s">
        <v>1226</v>
      </c>
      <c r="G48" s="74" t="s">
        <v>1226</v>
      </c>
    </row>
    <row r="49" spans="1:7" x14ac:dyDescent="0.2">
      <c r="A49" s="39">
        <v>1091</v>
      </c>
      <c r="B49" s="38" t="s">
        <v>1228</v>
      </c>
      <c r="C49" s="39" t="s">
        <v>1222</v>
      </c>
      <c r="D49" s="74" t="s">
        <v>1229</v>
      </c>
      <c r="E49" s="74" t="s">
        <v>1224</v>
      </c>
      <c r="F49" s="74" t="s">
        <v>1225</v>
      </c>
      <c r="G49" s="74" t="s">
        <v>1226</v>
      </c>
    </row>
    <row r="50" spans="1:7" x14ac:dyDescent="0.2">
      <c r="A50" s="39">
        <v>1092</v>
      </c>
      <c r="B50" s="38" t="s">
        <v>1201</v>
      </c>
      <c r="C50" s="39" t="s">
        <v>1222</v>
      </c>
      <c r="D50" s="74" t="s">
        <v>1229</v>
      </c>
      <c r="E50" s="74" t="s">
        <v>1224</v>
      </c>
      <c r="F50" s="74" t="s">
        <v>1225</v>
      </c>
      <c r="G50" s="74" t="s">
        <v>1226</v>
      </c>
    </row>
    <row r="51" spans="1:7" x14ac:dyDescent="0.2">
      <c r="A51" s="39">
        <v>1093</v>
      </c>
      <c r="B51" s="38" t="s">
        <v>1201</v>
      </c>
      <c r="C51" s="39" t="s">
        <v>1222</v>
      </c>
      <c r="D51" s="74" t="s">
        <v>1229</v>
      </c>
      <c r="E51" s="74" t="s">
        <v>1224</v>
      </c>
      <c r="F51" s="74" t="s">
        <v>1225</v>
      </c>
      <c r="G51" s="74" t="s">
        <v>1226</v>
      </c>
    </row>
    <row r="52" spans="1:7" x14ac:dyDescent="0.2">
      <c r="A52" s="39">
        <v>1094</v>
      </c>
      <c r="B52" s="38" t="s">
        <v>1201</v>
      </c>
      <c r="C52" s="39" t="s">
        <v>1222</v>
      </c>
      <c r="D52" s="74" t="s">
        <v>1229</v>
      </c>
      <c r="E52" s="74" t="s">
        <v>1224</v>
      </c>
      <c r="F52" s="74" t="s">
        <v>1225</v>
      </c>
      <c r="G52" s="74" t="s">
        <v>1226</v>
      </c>
    </row>
    <row r="53" spans="1:7" x14ac:dyDescent="0.2">
      <c r="A53" s="39">
        <v>1095</v>
      </c>
      <c r="B53" s="38" t="s">
        <v>1201</v>
      </c>
      <c r="C53" s="39" t="s">
        <v>1222</v>
      </c>
      <c r="D53" s="74" t="s">
        <v>1229</v>
      </c>
      <c r="E53" s="74" t="s">
        <v>1224</v>
      </c>
      <c r="F53" s="74" t="s">
        <v>1225</v>
      </c>
      <c r="G53" s="74" t="s">
        <v>1226</v>
      </c>
    </row>
    <row r="54" spans="1:7" x14ac:dyDescent="0.2">
      <c r="A54" s="39">
        <v>1096</v>
      </c>
      <c r="B54" s="38" t="s">
        <v>1201</v>
      </c>
      <c r="C54" s="39" t="s">
        <v>1222</v>
      </c>
      <c r="D54" s="74" t="s">
        <v>1229</v>
      </c>
      <c r="E54" s="74" t="s">
        <v>1224</v>
      </c>
      <c r="F54" s="74" t="s">
        <v>1225</v>
      </c>
      <c r="G54" s="74" t="s">
        <v>1226</v>
      </c>
    </row>
    <row r="55" spans="1:7" x14ac:dyDescent="0.2">
      <c r="A55" s="39">
        <v>1097</v>
      </c>
      <c r="B55" s="38" t="s">
        <v>1201</v>
      </c>
      <c r="C55" s="39" t="s">
        <v>1222</v>
      </c>
      <c r="D55" s="74" t="s">
        <v>1229</v>
      </c>
      <c r="E55" s="74" t="s">
        <v>1224</v>
      </c>
      <c r="F55" s="74" t="s">
        <v>1225</v>
      </c>
      <c r="G55" s="74" t="s">
        <v>1226</v>
      </c>
    </row>
    <row r="56" spans="1:7" x14ac:dyDescent="0.2">
      <c r="A56" s="39">
        <v>1100</v>
      </c>
      <c r="B56" s="38" t="s">
        <v>1201</v>
      </c>
      <c r="C56" s="39" t="s">
        <v>1222</v>
      </c>
      <c r="D56" s="74" t="s">
        <v>1227</v>
      </c>
      <c r="E56" s="74" t="s">
        <v>1224</v>
      </c>
      <c r="F56" s="74" t="s">
        <v>1226</v>
      </c>
      <c r="G56" s="74" t="s">
        <v>1226</v>
      </c>
    </row>
    <row r="57" spans="1:7" x14ac:dyDescent="0.2">
      <c r="A57" s="39">
        <v>1101</v>
      </c>
      <c r="B57" s="38" t="s">
        <v>1228</v>
      </c>
      <c r="C57" s="39" t="s">
        <v>1222</v>
      </c>
      <c r="D57" s="74" t="s">
        <v>1229</v>
      </c>
      <c r="E57" s="74" t="s">
        <v>1224</v>
      </c>
      <c r="F57" s="74" t="s">
        <v>1225</v>
      </c>
      <c r="G57" s="74" t="s">
        <v>1226</v>
      </c>
    </row>
    <row r="58" spans="1:7" x14ac:dyDescent="0.2">
      <c r="A58" s="39">
        <v>1102</v>
      </c>
      <c r="B58" s="38" t="s">
        <v>1201</v>
      </c>
      <c r="C58" s="39" t="s">
        <v>1222</v>
      </c>
      <c r="D58" s="74" t="s">
        <v>1229</v>
      </c>
      <c r="E58" s="74" t="s">
        <v>1224</v>
      </c>
      <c r="F58" s="74" t="s">
        <v>1225</v>
      </c>
      <c r="G58" s="74" t="s">
        <v>1226</v>
      </c>
    </row>
    <row r="59" spans="1:7" x14ac:dyDescent="0.2">
      <c r="A59" s="39">
        <v>1103</v>
      </c>
      <c r="B59" s="38" t="s">
        <v>1201</v>
      </c>
      <c r="C59" s="39" t="s">
        <v>1222</v>
      </c>
      <c r="D59" s="74" t="s">
        <v>1229</v>
      </c>
      <c r="E59" s="74" t="s">
        <v>1224</v>
      </c>
      <c r="F59" s="74" t="s">
        <v>1225</v>
      </c>
      <c r="G59" s="74" t="s">
        <v>1226</v>
      </c>
    </row>
    <row r="60" spans="1:7" x14ac:dyDescent="0.2">
      <c r="A60" s="39">
        <v>1104</v>
      </c>
      <c r="B60" s="38" t="s">
        <v>1201</v>
      </c>
      <c r="C60" s="39" t="s">
        <v>1222</v>
      </c>
      <c r="D60" s="74" t="s">
        <v>1229</v>
      </c>
      <c r="E60" s="74" t="s">
        <v>1224</v>
      </c>
      <c r="F60" s="74" t="s">
        <v>1225</v>
      </c>
      <c r="G60" s="74" t="s">
        <v>1226</v>
      </c>
    </row>
    <row r="61" spans="1:7" x14ac:dyDescent="0.2">
      <c r="A61" s="39">
        <v>1105</v>
      </c>
      <c r="B61" s="38" t="s">
        <v>1201</v>
      </c>
      <c r="C61" s="39" t="s">
        <v>1222</v>
      </c>
      <c r="D61" s="74" t="s">
        <v>1229</v>
      </c>
      <c r="E61" s="74" t="s">
        <v>1224</v>
      </c>
      <c r="F61" s="74" t="s">
        <v>1225</v>
      </c>
      <c r="G61" s="74" t="s">
        <v>1226</v>
      </c>
    </row>
    <row r="62" spans="1:7" x14ac:dyDescent="0.2">
      <c r="A62" s="39">
        <v>1106</v>
      </c>
      <c r="B62" s="38" t="s">
        <v>1201</v>
      </c>
      <c r="C62" s="39" t="s">
        <v>1222</v>
      </c>
      <c r="D62" s="74" t="s">
        <v>1229</v>
      </c>
      <c r="E62" s="74" t="s">
        <v>1224</v>
      </c>
      <c r="F62" s="74" t="s">
        <v>1225</v>
      </c>
      <c r="G62" s="74" t="s">
        <v>1226</v>
      </c>
    </row>
    <row r="63" spans="1:7" x14ac:dyDescent="0.2">
      <c r="A63" s="39">
        <v>1107</v>
      </c>
      <c r="B63" s="38" t="s">
        <v>1201</v>
      </c>
      <c r="C63" s="39" t="s">
        <v>1222</v>
      </c>
      <c r="D63" s="74" t="s">
        <v>1229</v>
      </c>
      <c r="E63" s="74" t="s">
        <v>1224</v>
      </c>
      <c r="F63" s="74" t="s">
        <v>1225</v>
      </c>
      <c r="G63" s="74" t="s">
        <v>1226</v>
      </c>
    </row>
    <row r="64" spans="1:7" x14ac:dyDescent="0.2">
      <c r="A64" s="39">
        <v>1108</v>
      </c>
      <c r="B64" s="38" t="s">
        <v>1201</v>
      </c>
      <c r="C64" s="39" t="s">
        <v>1222</v>
      </c>
      <c r="D64" s="74" t="s">
        <v>1229</v>
      </c>
      <c r="E64" s="74" t="s">
        <v>1224</v>
      </c>
      <c r="F64" s="74" t="s">
        <v>1225</v>
      </c>
      <c r="G64" s="74" t="s">
        <v>1226</v>
      </c>
    </row>
    <row r="65" spans="1:7" x14ac:dyDescent="0.2">
      <c r="A65" s="39">
        <v>1109</v>
      </c>
      <c r="B65" s="38" t="s">
        <v>1201</v>
      </c>
      <c r="C65" s="39" t="s">
        <v>1222</v>
      </c>
      <c r="D65" s="74" t="s">
        <v>1229</v>
      </c>
      <c r="E65" s="74" t="s">
        <v>1224</v>
      </c>
      <c r="F65" s="74" t="s">
        <v>1225</v>
      </c>
      <c r="G65" s="74" t="s">
        <v>1226</v>
      </c>
    </row>
    <row r="66" spans="1:7" x14ac:dyDescent="0.2">
      <c r="A66" s="39">
        <v>1110</v>
      </c>
      <c r="B66" s="38" t="s">
        <v>1201</v>
      </c>
      <c r="C66" s="39" t="s">
        <v>1222</v>
      </c>
      <c r="D66" s="74" t="s">
        <v>1227</v>
      </c>
      <c r="E66" s="74" t="s">
        <v>1224</v>
      </c>
      <c r="F66" s="74" t="s">
        <v>1226</v>
      </c>
      <c r="G66" s="74" t="s">
        <v>1226</v>
      </c>
    </row>
    <row r="67" spans="1:7" x14ac:dyDescent="0.2">
      <c r="A67" s="39">
        <v>1111</v>
      </c>
      <c r="B67" s="38" t="s">
        <v>1228</v>
      </c>
      <c r="C67" s="39" t="s">
        <v>1222</v>
      </c>
      <c r="D67" s="74" t="s">
        <v>1229</v>
      </c>
      <c r="E67" s="74" t="s">
        <v>1224</v>
      </c>
      <c r="F67" s="74" t="s">
        <v>1225</v>
      </c>
      <c r="G67" s="74" t="s">
        <v>1226</v>
      </c>
    </row>
    <row r="68" spans="1:7" x14ac:dyDescent="0.2">
      <c r="A68" s="39">
        <v>1112</v>
      </c>
      <c r="B68" s="38" t="s">
        <v>1201</v>
      </c>
      <c r="C68" s="39" t="s">
        <v>1222</v>
      </c>
      <c r="D68" s="74" t="s">
        <v>1229</v>
      </c>
      <c r="E68" s="74" t="s">
        <v>1224</v>
      </c>
      <c r="F68" s="74" t="s">
        <v>1225</v>
      </c>
      <c r="G68" s="74" t="s">
        <v>1226</v>
      </c>
    </row>
    <row r="69" spans="1:7" x14ac:dyDescent="0.2">
      <c r="A69" s="39">
        <v>1113</v>
      </c>
      <c r="B69" s="38" t="s">
        <v>1201</v>
      </c>
      <c r="C69" s="39" t="s">
        <v>1222</v>
      </c>
      <c r="D69" s="74" t="s">
        <v>1229</v>
      </c>
      <c r="E69" s="74" t="s">
        <v>1224</v>
      </c>
      <c r="F69" s="74" t="s">
        <v>1225</v>
      </c>
      <c r="G69" s="74" t="s">
        <v>1226</v>
      </c>
    </row>
    <row r="70" spans="1:7" x14ac:dyDescent="0.2">
      <c r="A70" s="39">
        <v>1120</v>
      </c>
      <c r="B70" s="38" t="s">
        <v>1201</v>
      </c>
      <c r="C70" s="39" t="s">
        <v>1222</v>
      </c>
      <c r="D70" s="74" t="s">
        <v>1227</v>
      </c>
      <c r="E70" s="74" t="s">
        <v>1224</v>
      </c>
      <c r="F70" s="74" t="s">
        <v>1226</v>
      </c>
      <c r="G70" s="74" t="s">
        <v>1226</v>
      </c>
    </row>
    <row r="71" spans="1:7" x14ac:dyDescent="0.2">
      <c r="A71" s="39">
        <v>1121</v>
      </c>
      <c r="B71" s="38" t="s">
        <v>1228</v>
      </c>
      <c r="C71" s="39" t="s">
        <v>1222</v>
      </c>
      <c r="D71" s="74" t="s">
        <v>1229</v>
      </c>
      <c r="E71" s="74" t="s">
        <v>1224</v>
      </c>
      <c r="F71" s="74" t="s">
        <v>1225</v>
      </c>
      <c r="G71" s="74" t="s">
        <v>1226</v>
      </c>
    </row>
    <row r="72" spans="1:7" x14ac:dyDescent="0.2">
      <c r="A72" s="39">
        <v>1122</v>
      </c>
      <c r="B72" s="38" t="s">
        <v>1201</v>
      </c>
      <c r="C72" s="39" t="s">
        <v>1222</v>
      </c>
      <c r="D72" s="74" t="s">
        <v>1229</v>
      </c>
      <c r="E72" s="74" t="s">
        <v>1224</v>
      </c>
      <c r="F72" s="74" t="s">
        <v>1225</v>
      </c>
      <c r="G72" s="74" t="s">
        <v>1226</v>
      </c>
    </row>
    <row r="73" spans="1:7" x14ac:dyDescent="0.2">
      <c r="A73" s="39">
        <v>1125</v>
      </c>
      <c r="B73" s="38" t="s">
        <v>1201</v>
      </c>
      <c r="C73" s="39" t="s">
        <v>1222</v>
      </c>
      <c r="D73" s="74" t="s">
        <v>1229</v>
      </c>
      <c r="E73" s="74" t="s">
        <v>1224</v>
      </c>
      <c r="F73" s="74" t="s">
        <v>1225</v>
      </c>
      <c r="G73" s="74" t="s">
        <v>1226</v>
      </c>
    </row>
    <row r="74" spans="1:7" x14ac:dyDescent="0.2">
      <c r="A74" s="39">
        <v>1126</v>
      </c>
      <c r="B74" s="38" t="s">
        <v>1201</v>
      </c>
      <c r="C74" s="39" t="s">
        <v>1222</v>
      </c>
      <c r="D74" s="74" t="s">
        <v>1229</v>
      </c>
      <c r="E74" s="74" t="s">
        <v>1224</v>
      </c>
      <c r="F74" s="74" t="s">
        <v>1225</v>
      </c>
      <c r="G74" s="74" t="s">
        <v>1226</v>
      </c>
    </row>
    <row r="75" spans="1:7" x14ac:dyDescent="0.2">
      <c r="A75" s="39">
        <v>1127</v>
      </c>
      <c r="B75" s="38" t="s">
        <v>1201</v>
      </c>
      <c r="C75" s="39" t="s">
        <v>1222</v>
      </c>
      <c r="D75" s="74" t="s">
        <v>1229</v>
      </c>
      <c r="E75" s="74" t="s">
        <v>1224</v>
      </c>
      <c r="F75" s="74" t="s">
        <v>1225</v>
      </c>
      <c r="G75" s="74" t="s">
        <v>1226</v>
      </c>
    </row>
    <row r="76" spans="1:7" x14ac:dyDescent="0.2">
      <c r="A76" s="39">
        <v>1130</v>
      </c>
      <c r="B76" s="38" t="s">
        <v>1201</v>
      </c>
      <c r="C76" s="39" t="s">
        <v>1222</v>
      </c>
      <c r="D76" s="74" t="s">
        <v>1227</v>
      </c>
      <c r="E76" s="74" t="s">
        <v>1224</v>
      </c>
      <c r="F76" s="74" t="s">
        <v>1226</v>
      </c>
      <c r="G76" s="74" t="s">
        <v>1226</v>
      </c>
    </row>
    <row r="77" spans="1:7" x14ac:dyDescent="0.2">
      <c r="A77" s="39">
        <v>1131</v>
      </c>
      <c r="B77" s="38" t="s">
        <v>1228</v>
      </c>
      <c r="C77" s="39" t="s">
        <v>1222</v>
      </c>
      <c r="D77" s="74" t="s">
        <v>1229</v>
      </c>
      <c r="E77" s="74" t="s">
        <v>1224</v>
      </c>
      <c r="F77" s="74" t="s">
        <v>1225</v>
      </c>
      <c r="G77" s="74" t="s">
        <v>1226</v>
      </c>
    </row>
    <row r="78" spans="1:7" x14ac:dyDescent="0.2">
      <c r="A78" s="39">
        <v>1132</v>
      </c>
      <c r="B78" s="38" t="s">
        <v>1201</v>
      </c>
      <c r="C78" s="39" t="s">
        <v>1222</v>
      </c>
      <c r="D78" s="74" t="s">
        <v>1229</v>
      </c>
      <c r="E78" s="74" t="s">
        <v>1224</v>
      </c>
      <c r="F78" s="74" t="s">
        <v>1225</v>
      </c>
      <c r="G78" s="74" t="s">
        <v>1226</v>
      </c>
    </row>
    <row r="79" spans="1:7" x14ac:dyDescent="0.2">
      <c r="A79" s="39">
        <v>1133</v>
      </c>
      <c r="B79" s="38" t="s">
        <v>1201</v>
      </c>
      <c r="C79" s="39" t="s">
        <v>1222</v>
      </c>
      <c r="D79" s="74" t="s">
        <v>1229</v>
      </c>
      <c r="E79" s="74" t="s">
        <v>1224</v>
      </c>
      <c r="F79" s="74" t="s">
        <v>1225</v>
      </c>
      <c r="G79" s="74" t="s">
        <v>1226</v>
      </c>
    </row>
    <row r="80" spans="1:7" x14ac:dyDescent="0.2">
      <c r="A80" s="39">
        <v>1134</v>
      </c>
      <c r="B80" s="38" t="s">
        <v>1201</v>
      </c>
      <c r="C80" s="39" t="s">
        <v>1222</v>
      </c>
      <c r="D80" s="74" t="s">
        <v>1229</v>
      </c>
      <c r="E80" s="74" t="s">
        <v>1224</v>
      </c>
      <c r="F80" s="74" t="s">
        <v>1225</v>
      </c>
      <c r="G80" s="74" t="s">
        <v>1226</v>
      </c>
    </row>
    <row r="81" spans="1:7" x14ac:dyDescent="0.2">
      <c r="A81" s="39">
        <v>1136</v>
      </c>
      <c r="B81" s="38" t="s">
        <v>1201</v>
      </c>
      <c r="C81" s="39" t="s">
        <v>1222</v>
      </c>
      <c r="D81" s="74" t="s">
        <v>1223</v>
      </c>
      <c r="E81" s="74" t="s">
        <v>1224</v>
      </c>
      <c r="F81" s="74" t="s">
        <v>1225</v>
      </c>
      <c r="G81" s="74" t="s">
        <v>1226</v>
      </c>
    </row>
    <row r="82" spans="1:7" x14ac:dyDescent="0.2">
      <c r="A82" s="39">
        <v>1140</v>
      </c>
      <c r="B82" s="38" t="s">
        <v>1201</v>
      </c>
      <c r="C82" s="39" t="s">
        <v>1222</v>
      </c>
      <c r="D82" s="74" t="s">
        <v>1227</v>
      </c>
      <c r="E82" s="74" t="s">
        <v>1224</v>
      </c>
      <c r="F82" s="74" t="s">
        <v>1226</v>
      </c>
      <c r="G82" s="74" t="s">
        <v>1226</v>
      </c>
    </row>
    <row r="83" spans="1:7" x14ac:dyDescent="0.2">
      <c r="A83" s="39">
        <v>1141</v>
      </c>
      <c r="B83" s="38" t="s">
        <v>1228</v>
      </c>
      <c r="C83" s="39" t="s">
        <v>1222</v>
      </c>
      <c r="D83" s="74" t="s">
        <v>1229</v>
      </c>
      <c r="E83" s="74" t="s">
        <v>1224</v>
      </c>
      <c r="F83" s="74" t="s">
        <v>1225</v>
      </c>
      <c r="G83" s="74" t="s">
        <v>1226</v>
      </c>
    </row>
    <row r="84" spans="1:7" x14ac:dyDescent="0.2">
      <c r="A84" s="39">
        <v>1142</v>
      </c>
      <c r="B84" s="38" t="s">
        <v>1201</v>
      </c>
      <c r="C84" s="39" t="s">
        <v>1222</v>
      </c>
      <c r="D84" s="74" t="s">
        <v>1229</v>
      </c>
      <c r="E84" s="74" t="s">
        <v>1224</v>
      </c>
      <c r="F84" s="74" t="s">
        <v>1225</v>
      </c>
      <c r="G84" s="74" t="s">
        <v>1226</v>
      </c>
    </row>
    <row r="85" spans="1:7" x14ac:dyDescent="0.2">
      <c r="A85" s="39">
        <v>1143</v>
      </c>
      <c r="B85" s="38" t="s">
        <v>1201</v>
      </c>
      <c r="C85" s="39" t="s">
        <v>1222</v>
      </c>
      <c r="D85" s="74" t="s">
        <v>1229</v>
      </c>
      <c r="E85" s="74" t="s">
        <v>1224</v>
      </c>
      <c r="F85" s="74" t="s">
        <v>1225</v>
      </c>
      <c r="G85" s="74" t="s">
        <v>1226</v>
      </c>
    </row>
    <row r="86" spans="1:7" x14ac:dyDescent="0.2">
      <c r="A86" s="39">
        <v>1144</v>
      </c>
      <c r="B86" s="38" t="s">
        <v>1201</v>
      </c>
      <c r="C86" s="39" t="s">
        <v>1222</v>
      </c>
      <c r="D86" s="74" t="s">
        <v>1229</v>
      </c>
      <c r="E86" s="74" t="s">
        <v>1224</v>
      </c>
      <c r="F86" s="74" t="s">
        <v>1225</v>
      </c>
      <c r="G86" s="74" t="s">
        <v>1226</v>
      </c>
    </row>
    <row r="87" spans="1:7" x14ac:dyDescent="0.2">
      <c r="A87" s="39">
        <v>1145</v>
      </c>
      <c r="B87" s="38" t="s">
        <v>1201</v>
      </c>
      <c r="C87" s="39" t="s">
        <v>1222</v>
      </c>
      <c r="D87" s="74" t="s">
        <v>1229</v>
      </c>
      <c r="E87" s="74" t="s">
        <v>1224</v>
      </c>
      <c r="F87" s="74" t="s">
        <v>1225</v>
      </c>
      <c r="G87" s="74" t="s">
        <v>1226</v>
      </c>
    </row>
    <row r="88" spans="1:7" x14ac:dyDescent="0.2">
      <c r="A88" s="39">
        <v>1147</v>
      </c>
      <c r="B88" s="38" t="s">
        <v>1201</v>
      </c>
      <c r="C88" s="39" t="s">
        <v>1222</v>
      </c>
      <c r="D88" s="74" t="s">
        <v>1229</v>
      </c>
      <c r="E88" s="74" t="s">
        <v>1224</v>
      </c>
      <c r="F88" s="74" t="s">
        <v>1225</v>
      </c>
      <c r="G88" s="74" t="s">
        <v>1226</v>
      </c>
    </row>
    <row r="89" spans="1:7" x14ac:dyDescent="0.2">
      <c r="A89" s="39">
        <v>1148</v>
      </c>
      <c r="B89" s="38" t="s">
        <v>1201</v>
      </c>
      <c r="C89" s="39" t="s">
        <v>1222</v>
      </c>
      <c r="D89" s="74" t="s">
        <v>1223</v>
      </c>
      <c r="E89" s="74" t="s">
        <v>1224</v>
      </c>
      <c r="F89" s="74" t="s">
        <v>1225</v>
      </c>
      <c r="G89" s="74" t="s">
        <v>1226</v>
      </c>
    </row>
    <row r="90" spans="1:7" x14ac:dyDescent="0.2">
      <c r="A90" s="39">
        <v>1150</v>
      </c>
      <c r="B90" s="38" t="s">
        <v>1201</v>
      </c>
      <c r="C90" s="39" t="s">
        <v>1222</v>
      </c>
      <c r="D90" s="74" t="s">
        <v>1227</v>
      </c>
      <c r="E90" s="74" t="s">
        <v>1224</v>
      </c>
      <c r="F90" s="74" t="s">
        <v>1226</v>
      </c>
      <c r="G90" s="74" t="s">
        <v>1226</v>
      </c>
    </row>
    <row r="91" spans="1:7" x14ac:dyDescent="0.2">
      <c r="A91" s="39">
        <v>1151</v>
      </c>
      <c r="B91" s="38" t="s">
        <v>1228</v>
      </c>
      <c r="C91" s="39" t="s">
        <v>1222</v>
      </c>
      <c r="D91" s="74" t="s">
        <v>1229</v>
      </c>
      <c r="E91" s="74" t="s">
        <v>1224</v>
      </c>
      <c r="F91" s="74" t="s">
        <v>1225</v>
      </c>
      <c r="G91" s="74" t="s">
        <v>1226</v>
      </c>
    </row>
    <row r="92" spans="1:7" x14ac:dyDescent="0.2">
      <c r="A92" s="39">
        <v>1152</v>
      </c>
      <c r="B92" s="38" t="s">
        <v>1201</v>
      </c>
      <c r="C92" s="39" t="s">
        <v>1222</v>
      </c>
      <c r="D92" s="74" t="s">
        <v>1229</v>
      </c>
      <c r="E92" s="74" t="s">
        <v>1224</v>
      </c>
      <c r="F92" s="74" t="s">
        <v>1225</v>
      </c>
      <c r="G92" s="74" t="s">
        <v>1226</v>
      </c>
    </row>
    <row r="93" spans="1:7" x14ac:dyDescent="0.2">
      <c r="A93" s="39">
        <v>1153</v>
      </c>
      <c r="B93" s="38" t="s">
        <v>1201</v>
      </c>
      <c r="C93" s="39" t="s">
        <v>1222</v>
      </c>
      <c r="D93" s="74" t="s">
        <v>1229</v>
      </c>
      <c r="E93" s="74" t="s">
        <v>1224</v>
      </c>
      <c r="F93" s="74" t="s">
        <v>1225</v>
      </c>
      <c r="G93" s="74" t="s">
        <v>1226</v>
      </c>
    </row>
    <row r="94" spans="1:7" x14ac:dyDescent="0.2">
      <c r="A94" s="39">
        <v>1160</v>
      </c>
      <c r="B94" s="38" t="s">
        <v>1201</v>
      </c>
      <c r="C94" s="39" t="s">
        <v>1222</v>
      </c>
      <c r="D94" s="74" t="s">
        <v>1227</v>
      </c>
      <c r="E94" s="74" t="s">
        <v>1224</v>
      </c>
      <c r="F94" s="74" t="s">
        <v>1226</v>
      </c>
      <c r="G94" s="74" t="s">
        <v>1226</v>
      </c>
    </row>
    <row r="95" spans="1:7" x14ac:dyDescent="0.2">
      <c r="A95" s="39">
        <v>1161</v>
      </c>
      <c r="B95" s="38" t="s">
        <v>1228</v>
      </c>
      <c r="C95" s="39" t="s">
        <v>1222</v>
      </c>
      <c r="D95" s="74" t="s">
        <v>1229</v>
      </c>
      <c r="E95" s="74" t="s">
        <v>1224</v>
      </c>
      <c r="F95" s="74" t="s">
        <v>1225</v>
      </c>
      <c r="G95" s="74" t="s">
        <v>1226</v>
      </c>
    </row>
    <row r="96" spans="1:7" x14ac:dyDescent="0.2">
      <c r="A96" s="39">
        <v>1163</v>
      </c>
      <c r="B96" s="38" t="s">
        <v>1201</v>
      </c>
      <c r="C96" s="39" t="s">
        <v>1222</v>
      </c>
      <c r="D96" s="74" t="s">
        <v>1229</v>
      </c>
      <c r="E96" s="74" t="s">
        <v>1224</v>
      </c>
      <c r="F96" s="74" t="s">
        <v>1225</v>
      </c>
      <c r="G96" s="74" t="s">
        <v>1226</v>
      </c>
    </row>
    <row r="97" spans="1:7" x14ac:dyDescent="0.2">
      <c r="A97" s="39">
        <v>1165</v>
      </c>
      <c r="B97" s="38" t="s">
        <v>1201</v>
      </c>
      <c r="C97" s="39" t="s">
        <v>1222</v>
      </c>
      <c r="D97" s="74" t="s">
        <v>1229</v>
      </c>
      <c r="E97" s="74" t="s">
        <v>1224</v>
      </c>
      <c r="F97" s="74" t="s">
        <v>1225</v>
      </c>
      <c r="G97" s="74" t="s">
        <v>1226</v>
      </c>
    </row>
    <row r="98" spans="1:7" x14ac:dyDescent="0.2">
      <c r="A98" s="39">
        <v>1166</v>
      </c>
      <c r="B98" s="38" t="s">
        <v>1201</v>
      </c>
      <c r="C98" s="39" t="s">
        <v>1222</v>
      </c>
      <c r="D98" s="74" t="s">
        <v>1229</v>
      </c>
      <c r="E98" s="74" t="s">
        <v>1224</v>
      </c>
      <c r="F98" s="74" t="s">
        <v>1225</v>
      </c>
      <c r="G98" s="74" t="s">
        <v>1226</v>
      </c>
    </row>
    <row r="99" spans="1:7" x14ac:dyDescent="0.2">
      <c r="A99" s="39">
        <v>1170</v>
      </c>
      <c r="B99" s="38" t="s">
        <v>1201</v>
      </c>
      <c r="C99" s="39" t="s">
        <v>1222</v>
      </c>
      <c r="D99" s="74" t="s">
        <v>1227</v>
      </c>
      <c r="E99" s="74" t="s">
        <v>1224</v>
      </c>
      <c r="F99" s="74" t="s">
        <v>1226</v>
      </c>
      <c r="G99" s="74" t="s">
        <v>1226</v>
      </c>
    </row>
    <row r="100" spans="1:7" x14ac:dyDescent="0.2">
      <c r="A100" s="39">
        <v>1171</v>
      </c>
      <c r="B100" s="38" t="s">
        <v>1228</v>
      </c>
      <c r="C100" s="39" t="s">
        <v>1222</v>
      </c>
      <c r="D100" s="74" t="s">
        <v>1229</v>
      </c>
      <c r="E100" s="74" t="s">
        <v>1224</v>
      </c>
      <c r="F100" s="74" t="s">
        <v>1225</v>
      </c>
      <c r="G100" s="74" t="s">
        <v>1226</v>
      </c>
    </row>
    <row r="101" spans="1:7" x14ac:dyDescent="0.2">
      <c r="A101" s="39">
        <v>1172</v>
      </c>
      <c r="B101" s="38" t="s">
        <v>1201</v>
      </c>
      <c r="C101" s="39" t="s">
        <v>1222</v>
      </c>
      <c r="D101" s="74" t="s">
        <v>1229</v>
      </c>
      <c r="E101" s="74" t="s">
        <v>1224</v>
      </c>
      <c r="F101" s="74" t="s">
        <v>1225</v>
      </c>
      <c r="G101" s="74" t="s">
        <v>1226</v>
      </c>
    </row>
    <row r="102" spans="1:7" x14ac:dyDescent="0.2">
      <c r="A102" s="39">
        <v>1173</v>
      </c>
      <c r="B102" s="38" t="s">
        <v>1201</v>
      </c>
      <c r="C102" s="39" t="s">
        <v>1222</v>
      </c>
      <c r="D102" s="74" t="s">
        <v>1229</v>
      </c>
      <c r="E102" s="74" t="s">
        <v>1224</v>
      </c>
      <c r="F102" s="74" t="s">
        <v>1225</v>
      </c>
      <c r="G102" s="74" t="s">
        <v>1226</v>
      </c>
    </row>
    <row r="103" spans="1:7" x14ac:dyDescent="0.2">
      <c r="A103" s="39">
        <v>1180</v>
      </c>
      <c r="B103" s="38" t="s">
        <v>1201</v>
      </c>
      <c r="C103" s="39" t="s">
        <v>1222</v>
      </c>
      <c r="D103" s="74" t="s">
        <v>1227</v>
      </c>
      <c r="E103" s="74" t="s">
        <v>1224</v>
      </c>
      <c r="F103" s="74" t="s">
        <v>1226</v>
      </c>
      <c r="G103" s="74" t="s">
        <v>1226</v>
      </c>
    </row>
    <row r="104" spans="1:7" x14ac:dyDescent="0.2">
      <c r="A104" s="39">
        <v>1181</v>
      </c>
      <c r="B104" s="38" t="s">
        <v>1228</v>
      </c>
      <c r="C104" s="39" t="s">
        <v>1222</v>
      </c>
      <c r="D104" s="74" t="s">
        <v>1229</v>
      </c>
      <c r="E104" s="74" t="s">
        <v>1224</v>
      </c>
      <c r="F104" s="74" t="s">
        <v>1225</v>
      </c>
      <c r="G104" s="74" t="s">
        <v>1226</v>
      </c>
    </row>
    <row r="105" spans="1:7" x14ac:dyDescent="0.2">
      <c r="A105" s="39">
        <v>1182</v>
      </c>
      <c r="B105" s="38" t="s">
        <v>1201</v>
      </c>
      <c r="C105" s="39" t="s">
        <v>1222</v>
      </c>
      <c r="D105" s="74" t="s">
        <v>1229</v>
      </c>
      <c r="E105" s="74" t="s">
        <v>1224</v>
      </c>
      <c r="F105" s="74" t="s">
        <v>1225</v>
      </c>
      <c r="G105" s="74" t="s">
        <v>1226</v>
      </c>
    </row>
    <row r="106" spans="1:7" x14ac:dyDescent="0.2">
      <c r="A106" s="39">
        <v>1183</v>
      </c>
      <c r="B106" s="38" t="s">
        <v>1201</v>
      </c>
      <c r="C106" s="39" t="s">
        <v>1222</v>
      </c>
      <c r="D106" s="74" t="s">
        <v>1229</v>
      </c>
      <c r="E106" s="74" t="s">
        <v>1224</v>
      </c>
      <c r="F106" s="74" t="s">
        <v>1225</v>
      </c>
      <c r="G106" s="74" t="s">
        <v>1226</v>
      </c>
    </row>
    <row r="107" spans="1:7" x14ac:dyDescent="0.2">
      <c r="A107" s="39">
        <v>1190</v>
      </c>
      <c r="B107" s="38" t="s">
        <v>1201</v>
      </c>
      <c r="C107" s="39" t="s">
        <v>1222</v>
      </c>
      <c r="D107" s="74" t="s">
        <v>1227</v>
      </c>
      <c r="E107" s="74" t="s">
        <v>1224</v>
      </c>
      <c r="F107" s="74" t="s">
        <v>1226</v>
      </c>
      <c r="G107" s="74" t="s">
        <v>1226</v>
      </c>
    </row>
    <row r="108" spans="1:7" x14ac:dyDescent="0.2">
      <c r="A108" s="39">
        <v>1191</v>
      </c>
      <c r="B108" s="38" t="s">
        <v>1228</v>
      </c>
      <c r="C108" s="39" t="s">
        <v>1222</v>
      </c>
      <c r="D108" s="74" t="s">
        <v>1229</v>
      </c>
      <c r="E108" s="74" t="s">
        <v>1224</v>
      </c>
      <c r="F108" s="74" t="s">
        <v>1225</v>
      </c>
      <c r="G108" s="74" t="s">
        <v>1226</v>
      </c>
    </row>
    <row r="109" spans="1:7" x14ac:dyDescent="0.2">
      <c r="A109" s="39">
        <v>1192</v>
      </c>
      <c r="B109" s="38" t="s">
        <v>1201</v>
      </c>
      <c r="C109" s="39" t="s">
        <v>1222</v>
      </c>
      <c r="D109" s="74" t="s">
        <v>1229</v>
      </c>
      <c r="E109" s="74" t="s">
        <v>1224</v>
      </c>
      <c r="F109" s="74" t="s">
        <v>1225</v>
      </c>
      <c r="G109" s="74" t="s">
        <v>1226</v>
      </c>
    </row>
    <row r="110" spans="1:7" x14ac:dyDescent="0.2">
      <c r="A110" s="39">
        <v>1193</v>
      </c>
      <c r="B110" s="38" t="s">
        <v>1201</v>
      </c>
      <c r="C110" s="39" t="s">
        <v>1222</v>
      </c>
      <c r="D110" s="74" t="s">
        <v>1229</v>
      </c>
      <c r="E110" s="74" t="s">
        <v>1224</v>
      </c>
      <c r="F110" s="74" t="s">
        <v>1225</v>
      </c>
      <c r="G110" s="74" t="s">
        <v>1226</v>
      </c>
    </row>
    <row r="111" spans="1:7" x14ac:dyDescent="0.2">
      <c r="A111" s="39">
        <v>1194</v>
      </c>
      <c r="B111" s="38" t="s">
        <v>1201</v>
      </c>
      <c r="C111" s="39" t="s">
        <v>1222</v>
      </c>
      <c r="D111" s="74" t="s">
        <v>1229</v>
      </c>
      <c r="E111" s="74" t="s">
        <v>1224</v>
      </c>
      <c r="F111" s="74" t="s">
        <v>1225</v>
      </c>
      <c r="G111" s="74" t="s">
        <v>1226</v>
      </c>
    </row>
    <row r="112" spans="1:7" x14ac:dyDescent="0.2">
      <c r="A112" s="39">
        <v>1195</v>
      </c>
      <c r="B112" s="38" t="s">
        <v>1201</v>
      </c>
      <c r="C112" s="39" t="s">
        <v>1222</v>
      </c>
      <c r="D112" s="74" t="s">
        <v>1229</v>
      </c>
      <c r="E112" s="74" t="s">
        <v>1224</v>
      </c>
      <c r="F112" s="74" t="s">
        <v>1225</v>
      </c>
      <c r="G112" s="74" t="s">
        <v>1226</v>
      </c>
    </row>
    <row r="113" spans="1:7" x14ac:dyDescent="0.2">
      <c r="A113" s="39">
        <v>1196</v>
      </c>
      <c r="B113" s="38" t="s">
        <v>1201</v>
      </c>
      <c r="C113" s="39" t="s">
        <v>1222</v>
      </c>
      <c r="D113" s="74" t="s">
        <v>1229</v>
      </c>
      <c r="E113" s="74" t="s">
        <v>1224</v>
      </c>
      <c r="F113" s="74" t="s">
        <v>1225</v>
      </c>
      <c r="G113" s="74" t="s">
        <v>1226</v>
      </c>
    </row>
    <row r="114" spans="1:7" x14ac:dyDescent="0.2">
      <c r="A114" s="39">
        <v>1200</v>
      </c>
      <c r="B114" s="38" t="s">
        <v>1201</v>
      </c>
      <c r="C114" s="39" t="s">
        <v>1222</v>
      </c>
      <c r="D114" s="74" t="s">
        <v>1227</v>
      </c>
      <c r="E114" s="74" t="s">
        <v>1224</v>
      </c>
      <c r="F114" s="74" t="s">
        <v>1226</v>
      </c>
      <c r="G114" s="74" t="s">
        <v>1226</v>
      </c>
    </row>
    <row r="115" spans="1:7" x14ac:dyDescent="0.2">
      <c r="A115" s="39">
        <v>1201</v>
      </c>
      <c r="B115" s="38" t="s">
        <v>1228</v>
      </c>
      <c r="C115" s="39" t="s">
        <v>1222</v>
      </c>
      <c r="D115" s="74" t="s">
        <v>1229</v>
      </c>
      <c r="E115" s="74" t="s">
        <v>1224</v>
      </c>
      <c r="F115" s="74" t="s">
        <v>1225</v>
      </c>
      <c r="G115" s="74" t="s">
        <v>1226</v>
      </c>
    </row>
    <row r="116" spans="1:7" x14ac:dyDescent="0.2">
      <c r="A116" s="39">
        <v>1202</v>
      </c>
      <c r="B116" s="38" t="s">
        <v>1201</v>
      </c>
      <c r="C116" s="39" t="s">
        <v>1222</v>
      </c>
      <c r="D116" s="74" t="s">
        <v>1229</v>
      </c>
      <c r="E116" s="74" t="s">
        <v>1224</v>
      </c>
      <c r="F116" s="74" t="s">
        <v>1225</v>
      </c>
      <c r="G116" s="74" t="s">
        <v>1226</v>
      </c>
    </row>
    <row r="117" spans="1:7" x14ac:dyDescent="0.2">
      <c r="A117" s="39">
        <v>1203</v>
      </c>
      <c r="B117" s="38" t="s">
        <v>1201</v>
      </c>
      <c r="C117" s="39" t="s">
        <v>1222</v>
      </c>
      <c r="D117" s="74" t="s">
        <v>1229</v>
      </c>
      <c r="E117" s="74" t="s">
        <v>1224</v>
      </c>
      <c r="F117" s="74" t="s">
        <v>1225</v>
      </c>
      <c r="G117" s="74" t="s">
        <v>1226</v>
      </c>
    </row>
    <row r="118" spans="1:7" x14ac:dyDescent="0.2">
      <c r="A118" s="39">
        <v>1204</v>
      </c>
      <c r="B118" s="38" t="s">
        <v>1201</v>
      </c>
      <c r="C118" s="39" t="s">
        <v>1222</v>
      </c>
      <c r="D118" s="74" t="s">
        <v>1229</v>
      </c>
      <c r="E118" s="74" t="s">
        <v>1224</v>
      </c>
      <c r="F118" s="74" t="s">
        <v>1225</v>
      </c>
      <c r="G118" s="74" t="s">
        <v>1226</v>
      </c>
    </row>
    <row r="119" spans="1:7" x14ac:dyDescent="0.2">
      <c r="A119" s="39">
        <v>1205</v>
      </c>
      <c r="B119" s="38" t="s">
        <v>1201</v>
      </c>
      <c r="C119" s="39" t="s">
        <v>1222</v>
      </c>
      <c r="D119" s="74" t="s">
        <v>1229</v>
      </c>
      <c r="E119" s="74" t="s">
        <v>1224</v>
      </c>
      <c r="F119" s="74" t="s">
        <v>1225</v>
      </c>
      <c r="G119" s="74" t="s">
        <v>1226</v>
      </c>
    </row>
    <row r="120" spans="1:7" x14ac:dyDescent="0.2">
      <c r="A120" s="39">
        <v>1206</v>
      </c>
      <c r="B120" s="38" t="s">
        <v>1201</v>
      </c>
      <c r="C120" s="39" t="s">
        <v>1222</v>
      </c>
      <c r="D120" s="74" t="s">
        <v>1229</v>
      </c>
      <c r="E120" s="74" t="s">
        <v>1224</v>
      </c>
      <c r="F120" s="74" t="s">
        <v>1225</v>
      </c>
      <c r="G120" s="74" t="s">
        <v>1226</v>
      </c>
    </row>
    <row r="121" spans="1:7" x14ac:dyDescent="0.2">
      <c r="A121" s="39">
        <v>1210</v>
      </c>
      <c r="B121" s="38" t="s">
        <v>1201</v>
      </c>
      <c r="C121" s="39" t="s">
        <v>1222</v>
      </c>
      <c r="D121" s="74" t="s">
        <v>1227</v>
      </c>
      <c r="E121" s="74" t="s">
        <v>1224</v>
      </c>
      <c r="F121" s="74" t="s">
        <v>1226</v>
      </c>
      <c r="G121" s="74" t="s">
        <v>1226</v>
      </c>
    </row>
    <row r="122" spans="1:7" x14ac:dyDescent="0.2">
      <c r="A122" s="39">
        <v>1211</v>
      </c>
      <c r="B122" s="38" t="s">
        <v>1228</v>
      </c>
      <c r="C122" s="39" t="s">
        <v>1222</v>
      </c>
      <c r="D122" s="74" t="s">
        <v>1229</v>
      </c>
      <c r="E122" s="74" t="s">
        <v>1224</v>
      </c>
      <c r="F122" s="74" t="s">
        <v>1225</v>
      </c>
      <c r="G122" s="74" t="s">
        <v>1226</v>
      </c>
    </row>
    <row r="123" spans="1:7" x14ac:dyDescent="0.2">
      <c r="A123" s="39">
        <v>1212</v>
      </c>
      <c r="B123" s="38" t="s">
        <v>1201</v>
      </c>
      <c r="C123" s="39" t="s">
        <v>1222</v>
      </c>
      <c r="D123" s="74" t="s">
        <v>1229</v>
      </c>
      <c r="E123" s="74" t="s">
        <v>1224</v>
      </c>
      <c r="F123" s="74" t="s">
        <v>1225</v>
      </c>
      <c r="G123" s="74" t="s">
        <v>1226</v>
      </c>
    </row>
    <row r="124" spans="1:7" x14ac:dyDescent="0.2">
      <c r="A124" s="39">
        <v>1213</v>
      </c>
      <c r="B124" s="38" t="s">
        <v>1201</v>
      </c>
      <c r="C124" s="39" t="s">
        <v>1222</v>
      </c>
      <c r="D124" s="74" t="s">
        <v>1229</v>
      </c>
      <c r="E124" s="74" t="s">
        <v>1224</v>
      </c>
      <c r="F124" s="74" t="s">
        <v>1225</v>
      </c>
      <c r="G124" s="74" t="s">
        <v>1226</v>
      </c>
    </row>
    <row r="125" spans="1:7" x14ac:dyDescent="0.2">
      <c r="A125" s="39">
        <v>1214</v>
      </c>
      <c r="B125" s="38" t="s">
        <v>1201</v>
      </c>
      <c r="C125" s="39" t="s">
        <v>1222</v>
      </c>
      <c r="D125" s="74" t="s">
        <v>1229</v>
      </c>
      <c r="E125" s="74" t="s">
        <v>1224</v>
      </c>
      <c r="F125" s="74" t="s">
        <v>1225</v>
      </c>
      <c r="G125" s="74" t="s">
        <v>1226</v>
      </c>
    </row>
    <row r="126" spans="1:7" x14ac:dyDescent="0.2">
      <c r="A126" s="39">
        <v>1215</v>
      </c>
      <c r="B126" s="38" t="s">
        <v>1201</v>
      </c>
      <c r="C126" s="39" t="s">
        <v>1222</v>
      </c>
      <c r="D126" s="74" t="s">
        <v>1229</v>
      </c>
      <c r="E126" s="74" t="s">
        <v>1224</v>
      </c>
      <c r="F126" s="74" t="s">
        <v>1225</v>
      </c>
      <c r="G126" s="74" t="s">
        <v>1226</v>
      </c>
    </row>
    <row r="127" spans="1:7" x14ac:dyDescent="0.2">
      <c r="A127" s="39">
        <v>1216</v>
      </c>
      <c r="B127" s="38" t="s">
        <v>1201</v>
      </c>
      <c r="C127" s="39" t="s">
        <v>1222</v>
      </c>
      <c r="D127" s="74" t="s">
        <v>1229</v>
      </c>
      <c r="E127" s="74" t="s">
        <v>1224</v>
      </c>
      <c r="F127" s="74" t="s">
        <v>1225</v>
      </c>
      <c r="G127" s="74" t="s">
        <v>1226</v>
      </c>
    </row>
    <row r="128" spans="1:7" x14ac:dyDescent="0.2">
      <c r="A128" s="39">
        <v>1217</v>
      </c>
      <c r="B128" s="38" t="s">
        <v>1201</v>
      </c>
      <c r="C128" s="39" t="s">
        <v>1222</v>
      </c>
      <c r="D128" s="74" t="s">
        <v>1229</v>
      </c>
      <c r="E128" s="74" t="s">
        <v>1224</v>
      </c>
      <c r="F128" s="74" t="s">
        <v>1225</v>
      </c>
      <c r="G128" s="74" t="s">
        <v>1226</v>
      </c>
    </row>
    <row r="129" spans="1:7" x14ac:dyDescent="0.2">
      <c r="A129" s="39">
        <v>1218</v>
      </c>
      <c r="B129" s="38" t="s">
        <v>1201</v>
      </c>
      <c r="C129" s="39" t="s">
        <v>1222</v>
      </c>
      <c r="D129" s="74" t="s">
        <v>1229</v>
      </c>
      <c r="E129" s="74" t="s">
        <v>1224</v>
      </c>
      <c r="F129" s="74" t="s">
        <v>1225</v>
      </c>
      <c r="G129" s="74" t="s">
        <v>1226</v>
      </c>
    </row>
    <row r="130" spans="1:7" x14ac:dyDescent="0.2">
      <c r="A130" s="39">
        <v>1220</v>
      </c>
      <c r="B130" s="38" t="s">
        <v>1201</v>
      </c>
      <c r="C130" s="39" t="s">
        <v>1222</v>
      </c>
      <c r="D130" s="74" t="s">
        <v>1227</v>
      </c>
      <c r="E130" s="74" t="s">
        <v>1224</v>
      </c>
      <c r="F130" s="74" t="s">
        <v>1226</v>
      </c>
      <c r="G130" s="74" t="s">
        <v>1226</v>
      </c>
    </row>
    <row r="131" spans="1:7" x14ac:dyDescent="0.2">
      <c r="A131" s="39">
        <v>1221</v>
      </c>
      <c r="B131" s="38" t="s">
        <v>1228</v>
      </c>
      <c r="C131" s="39" t="s">
        <v>1222</v>
      </c>
      <c r="D131" s="74" t="s">
        <v>1229</v>
      </c>
      <c r="E131" s="74" t="s">
        <v>1224</v>
      </c>
      <c r="F131" s="74" t="s">
        <v>1225</v>
      </c>
      <c r="G131" s="74" t="s">
        <v>1226</v>
      </c>
    </row>
    <row r="132" spans="1:7" x14ac:dyDescent="0.2">
      <c r="A132" s="39">
        <v>1222</v>
      </c>
      <c r="B132" s="38" t="s">
        <v>1201</v>
      </c>
      <c r="C132" s="39" t="s">
        <v>1222</v>
      </c>
      <c r="D132" s="74" t="s">
        <v>1229</v>
      </c>
      <c r="E132" s="74" t="s">
        <v>1224</v>
      </c>
      <c r="F132" s="74" t="s">
        <v>1225</v>
      </c>
      <c r="G132" s="74" t="s">
        <v>1226</v>
      </c>
    </row>
    <row r="133" spans="1:7" x14ac:dyDescent="0.2">
      <c r="A133" s="39">
        <v>1223</v>
      </c>
      <c r="B133" s="38" t="s">
        <v>1201</v>
      </c>
      <c r="C133" s="39" t="s">
        <v>1222</v>
      </c>
      <c r="D133" s="74" t="s">
        <v>1229</v>
      </c>
      <c r="E133" s="74" t="s">
        <v>1224</v>
      </c>
      <c r="F133" s="74" t="s">
        <v>1225</v>
      </c>
      <c r="G133" s="74" t="s">
        <v>1226</v>
      </c>
    </row>
    <row r="134" spans="1:7" x14ac:dyDescent="0.2">
      <c r="A134" s="39">
        <v>1224</v>
      </c>
      <c r="B134" s="38" t="s">
        <v>1201</v>
      </c>
      <c r="C134" s="39" t="s">
        <v>1222</v>
      </c>
      <c r="D134" s="74" t="s">
        <v>1229</v>
      </c>
      <c r="E134" s="74" t="s">
        <v>1224</v>
      </c>
      <c r="F134" s="74" t="s">
        <v>1225</v>
      </c>
      <c r="G134" s="74" t="s">
        <v>1226</v>
      </c>
    </row>
    <row r="135" spans="1:7" x14ac:dyDescent="0.2">
      <c r="A135" s="39">
        <v>1225</v>
      </c>
      <c r="B135" s="38" t="s">
        <v>1201</v>
      </c>
      <c r="C135" s="39" t="s">
        <v>1222</v>
      </c>
      <c r="D135" s="74" t="s">
        <v>1229</v>
      </c>
      <c r="E135" s="74" t="s">
        <v>1224</v>
      </c>
      <c r="F135" s="74" t="s">
        <v>1225</v>
      </c>
      <c r="G135" s="74" t="s">
        <v>1226</v>
      </c>
    </row>
    <row r="136" spans="1:7" x14ac:dyDescent="0.2">
      <c r="A136" s="39">
        <v>1226</v>
      </c>
      <c r="B136" s="38" t="s">
        <v>1201</v>
      </c>
      <c r="C136" s="39" t="s">
        <v>1222</v>
      </c>
      <c r="D136" s="74" t="s">
        <v>1229</v>
      </c>
      <c r="E136" s="74" t="s">
        <v>1224</v>
      </c>
      <c r="F136" s="74" t="s">
        <v>1225</v>
      </c>
      <c r="G136" s="74" t="s">
        <v>1226</v>
      </c>
    </row>
    <row r="137" spans="1:7" x14ac:dyDescent="0.2">
      <c r="A137" s="39">
        <v>1228</v>
      </c>
      <c r="B137" s="38" t="s">
        <v>1201</v>
      </c>
      <c r="C137" s="39" t="s">
        <v>1222</v>
      </c>
      <c r="D137" s="74" t="s">
        <v>1229</v>
      </c>
      <c r="E137" s="74" t="s">
        <v>1224</v>
      </c>
      <c r="F137" s="74" t="s">
        <v>1225</v>
      </c>
      <c r="G137" s="74" t="s">
        <v>1226</v>
      </c>
    </row>
    <row r="138" spans="1:7" x14ac:dyDescent="0.2">
      <c r="A138" s="39">
        <v>1229</v>
      </c>
      <c r="B138" s="38" t="s">
        <v>1201</v>
      </c>
      <c r="C138" s="39" t="s">
        <v>1222</v>
      </c>
      <c r="D138" s="74" t="s">
        <v>1229</v>
      </c>
      <c r="E138" s="74" t="s">
        <v>1224</v>
      </c>
      <c r="F138" s="74" t="s">
        <v>1225</v>
      </c>
      <c r="G138" s="74" t="s">
        <v>1226</v>
      </c>
    </row>
    <row r="139" spans="1:7" x14ac:dyDescent="0.2">
      <c r="A139" s="39">
        <v>1230</v>
      </c>
      <c r="B139" s="38" t="s">
        <v>1201</v>
      </c>
      <c r="C139" s="39" t="s">
        <v>1222</v>
      </c>
      <c r="D139" s="74" t="s">
        <v>1227</v>
      </c>
      <c r="E139" s="74" t="s">
        <v>1224</v>
      </c>
      <c r="F139" s="74" t="s">
        <v>1226</v>
      </c>
      <c r="G139" s="74" t="s">
        <v>1226</v>
      </c>
    </row>
    <row r="140" spans="1:7" x14ac:dyDescent="0.2">
      <c r="A140" s="39">
        <v>1231</v>
      </c>
      <c r="B140" s="38" t="s">
        <v>1228</v>
      </c>
      <c r="C140" s="39" t="s">
        <v>1222</v>
      </c>
      <c r="D140" s="74" t="s">
        <v>1229</v>
      </c>
      <c r="E140" s="74" t="s">
        <v>1224</v>
      </c>
      <c r="F140" s="74" t="s">
        <v>1225</v>
      </c>
      <c r="G140" s="74" t="s">
        <v>1226</v>
      </c>
    </row>
    <row r="141" spans="1:7" x14ac:dyDescent="0.2">
      <c r="A141" s="39">
        <v>1232</v>
      </c>
      <c r="B141" s="38" t="s">
        <v>1201</v>
      </c>
      <c r="C141" s="39" t="s">
        <v>1222</v>
      </c>
      <c r="D141" s="74" t="s">
        <v>1229</v>
      </c>
      <c r="E141" s="74" t="s">
        <v>1224</v>
      </c>
      <c r="F141" s="74" t="s">
        <v>1225</v>
      </c>
      <c r="G141" s="74" t="s">
        <v>1226</v>
      </c>
    </row>
    <row r="142" spans="1:7" x14ac:dyDescent="0.2">
      <c r="A142" s="39">
        <v>1233</v>
      </c>
      <c r="B142" s="38" t="s">
        <v>1201</v>
      </c>
      <c r="C142" s="39" t="s">
        <v>1222</v>
      </c>
      <c r="D142" s="74" t="s">
        <v>1229</v>
      </c>
      <c r="E142" s="74" t="s">
        <v>1224</v>
      </c>
      <c r="F142" s="74" t="s">
        <v>1225</v>
      </c>
      <c r="G142" s="74" t="s">
        <v>1226</v>
      </c>
    </row>
    <row r="143" spans="1:7" x14ac:dyDescent="0.2">
      <c r="A143" s="39">
        <v>1234</v>
      </c>
      <c r="B143" s="38" t="s">
        <v>1201</v>
      </c>
      <c r="C143" s="39" t="s">
        <v>1222</v>
      </c>
      <c r="D143" s="74" t="s">
        <v>1229</v>
      </c>
      <c r="E143" s="74" t="s">
        <v>1224</v>
      </c>
      <c r="F143" s="74" t="s">
        <v>1225</v>
      </c>
      <c r="G143" s="74" t="s">
        <v>1226</v>
      </c>
    </row>
    <row r="144" spans="1:7" x14ac:dyDescent="0.2">
      <c r="A144" s="39">
        <v>1235</v>
      </c>
      <c r="B144" s="38" t="s">
        <v>1201</v>
      </c>
      <c r="C144" s="39" t="s">
        <v>1222</v>
      </c>
      <c r="D144" s="74" t="s">
        <v>1229</v>
      </c>
      <c r="E144" s="74" t="s">
        <v>1224</v>
      </c>
      <c r="F144" s="74" t="s">
        <v>1225</v>
      </c>
      <c r="G144" s="74" t="s">
        <v>1226</v>
      </c>
    </row>
    <row r="145" spans="1:7" x14ac:dyDescent="0.2">
      <c r="A145" s="39">
        <v>1236</v>
      </c>
      <c r="B145" s="38" t="s">
        <v>1201</v>
      </c>
      <c r="C145" s="39" t="s">
        <v>1222</v>
      </c>
      <c r="D145" s="74" t="s">
        <v>1229</v>
      </c>
      <c r="E145" s="74" t="s">
        <v>1224</v>
      </c>
      <c r="F145" s="74" t="s">
        <v>1225</v>
      </c>
      <c r="G145" s="74" t="s">
        <v>1226</v>
      </c>
    </row>
    <row r="146" spans="1:7" x14ac:dyDescent="0.2">
      <c r="A146" s="39">
        <v>1238</v>
      </c>
      <c r="B146" s="38" t="s">
        <v>1201</v>
      </c>
      <c r="C146" s="39" t="s">
        <v>1222</v>
      </c>
      <c r="D146" s="74" t="s">
        <v>1229</v>
      </c>
      <c r="E146" s="74" t="s">
        <v>1224</v>
      </c>
      <c r="F146" s="74" t="s">
        <v>1225</v>
      </c>
      <c r="G146" s="74" t="s">
        <v>1226</v>
      </c>
    </row>
    <row r="147" spans="1:7" x14ac:dyDescent="0.2">
      <c r="A147" s="39">
        <v>1239</v>
      </c>
      <c r="B147" s="38" t="s">
        <v>1201</v>
      </c>
      <c r="C147" s="39" t="s">
        <v>1222</v>
      </c>
      <c r="D147" s="74" t="s">
        <v>1229</v>
      </c>
      <c r="E147" s="74" t="s">
        <v>1224</v>
      </c>
      <c r="F147" s="74" t="s">
        <v>1225</v>
      </c>
      <c r="G147" s="74" t="s">
        <v>1226</v>
      </c>
    </row>
    <row r="148" spans="1:7" x14ac:dyDescent="0.2">
      <c r="A148" s="39">
        <v>1300</v>
      </c>
      <c r="B148" s="38" t="s">
        <v>1232</v>
      </c>
      <c r="C148" s="39" t="s">
        <v>1222</v>
      </c>
      <c r="D148" s="74" t="s">
        <v>1227</v>
      </c>
      <c r="E148" s="74" t="s">
        <v>1224</v>
      </c>
      <c r="F148" s="74" t="s">
        <v>1226</v>
      </c>
      <c r="G148" s="74" t="s">
        <v>1226</v>
      </c>
    </row>
    <row r="149" spans="1:7" x14ac:dyDescent="0.2">
      <c r="A149" s="39">
        <v>1400</v>
      </c>
      <c r="B149" s="38" t="s">
        <v>1233</v>
      </c>
      <c r="C149" s="39" t="s">
        <v>1222</v>
      </c>
      <c r="D149" s="74" t="s">
        <v>1229</v>
      </c>
      <c r="E149" s="74" t="s">
        <v>1224</v>
      </c>
      <c r="F149" s="74" t="s">
        <v>1225</v>
      </c>
      <c r="G149" s="74" t="s">
        <v>1226</v>
      </c>
    </row>
    <row r="150" spans="1:7" x14ac:dyDescent="0.2">
      <c r="A150" s="39">
        <v>1402</v>
      </c>
      <c r="B150" s="38" t="s">
        <v>1201</v>
      </c>
      <c r="C150" s="39" t="s">
        <v>1222</v>
      </c>
      <c r="D150" s="74" t="s">
        <v>1229</v>
      </c>
      <c r="E150" s="74" t="s">
        <v>1224</v>
      </c>
      <c r="F150" s="74" t="s">
        <v>1225</v>
      </c>
      <c r="G150" s="74" t="s">
        <v>1226</v>
      </c>
    </row>
    <row r="151" spans="1:7" x14ac:dyDescent="0.2">
      <c r="A151" s="39">
        <v>1423</v>
      </c>
      <c r="B151" s="38" t="s">
        <v>1201</v>
      </c>
      <c r="C151" s="39" t="s">
        <v>1222</v>
      </c>
      <c r="D151" s="74" t="s">
        <v>1229</v>
      </c>
      <c r="E151" s="74" t="s">
        <v>1224</v>
      </c>
      <c r="F151" s="74" t="s">
        <v>1225</v>
      </c>
      <c r="G151" s="74" t="s">
        <v>1226</v>
      </c>
    </row>
    <row r="152" spans="1:7" x14ac:dyDescent="0.2">
      <c r="A152" s="39">
        <v>1500</v>
      </c>
      <c r="B152" s="38" t="s">
        <v>1234</v>
      </c>
      <c r="C152" s="39" t="s">
        <v>1222</v>
      </c>
      <c r="D152" s="74" t="s">
        <v>1235</v>
      </c>
      <c r="E152" s="74" t="s">
        <v>1224</v>
      </c>
      <c r="F152" s="74" t="s">
        <v>1225</v>
      </c>
      <c r="G152" s="74" t="s">
        <v>1226</v>
      </c>
    </row>
    <row r="153" spans="1:7" x14ac:dyDescent="0.2">
      <c r="A153" s="39">
        <v>1502</v>
      </c>
      <c r="B153" s="38" t="s">
        <v>1236</v>
      </c>
      <c r="C153" s="39" t="s">
        <v>1222</v>
      </c>
      <c r="D153" s="74" t="s">
        <v>1235</v>
      </c>
      <c r="E153" s="74" t="s">
        <v>1224</v>
      </c>
      <c r="F153" s="74" t="s">
        <v>1225</v>
      </c>
      <c r="G153" s="74" t="s">
        <v>1226</v>
      </c>
    </row>
    <row r="154" spans="1:7" x14ac:dyDescent="0.2">
      <c r="A154" s="39">
        <v>1503</v>
      </c>
      <c r="B154" s="38" t="s">
        <v>1237</v>
      </c>
      <c r="C154" s="39" t="s">
        <v>1222</v>
      </c>
      <c r="D154" s="74" t="s">
        <v>1235</v>
      </c>
      <c r="E154" s="74" t="s">
        <v>1224</v>
      </c>
      <c r="F154" s="74" t="s">
        <v>1225</v>
      </c>
      <c r="G154" s="74" t="s">
        <v>1226</v>
      </c>
    </row>
    <row r="155" spans="1:7" x14ac:dyDescent="0.2">
      <c r="A155" s="39">
        <v>1600</v>
      </c>
      <c r="B155" s="38" t="s">
        <v>1201</v>
      </c>
      <c r="C155" s="39" t="s">
        <v>1222</v>
      </c>
      <c r="D155" s="74" t="s">
        <v>1223</v>
      </c>
      <c r="E155" s="74" t="s">
        <v>1224</v>
      </c>
      <c r="F155" s="74" t="s">
        <v>1225</v>
      </c>
      <c r="G155" s="74" t="s">
        <v>1226</v>
      </c>
    </row>
    <row r="156" spans="1:7" x14ac:dyDescent="0.2">
      <c r="A156" s="39">
        <v>2000</v>
      </c>
      <c r="B156" s="38" t="s">
        <v>1238</v>
      </c>
      <c r="C156" s="39" t="s">
        <v>1239</v>
      </c>
      <c r="D156" s="74" t="s">
        <v>1227</v>
      </c>
      <c r="E156" s="74" t="s">
        <v>1224</v>
      </c>
      <c r="F156" s="74" t="s">
        <v>1226</v>
      </c>
      <c r="G156" s="74" t="s">
        <v>1226</v>
      </c>
    </row>
    <row r="157" spans="1:7" x14ac:dyDescent="0.2">
      <c r="A157" s="39">
        <v>2002</v>
      </c>
      <c r="B157" s="38" t="s">
        <v>1240</v>
      </c>
      <c r="C157" s="39" t="s">
        <v>1239</v>
      </c>
      <c r="D157" s="74" t="s">
        <v>1227</v>
      </c>
      <c r="E157" s="74" t="s">
        <v>1224</v>
      </c>
      <c r="F157" s="74" t="s">
        <v>1226</v>
      </c>
      <c r="G157" s="74" t="s">
        <v>1225</v>
      </c>
    </row>
    <row r="158" spans="1:7" x14ac:dyDescent="0.2">
      <c r="A158" s="39">
        <v>2003</v>
      </c>
      <c r="B158" s="38" t="s">
        <v>1241</v>
      </c>
      <c r="C158" s="39" t="s">
        <v>1239</v>
      </c>
      <c r="D158" s="74" t="s">
        <v>1227</v>
      </c>
      <c r="E158" s="74" t="s">
        <v>1224</v>
      </c>
      <c r="F158" s="74" t="s">
        <v>1226</v>
      </c>
      <c r="G158" s="74" t="s">
        <v>1225</v>
      </c>
    </row>
    <row r="159" spans="1:7" x14ac:dyDescent="0.2">
      <c r="A159" s="39">
        <v>2004</v>
      </c>
      <c r="B159" s="38" t="s">
        <v>1242</v>
      </c>
      <c r="C159" s="39" t="s">
        <v>1239</v>
      </c>
      <c r="D159" s="74" t="s">
        <v>1227</v>
      </c>
      <c r="E159" s="74" t="s">
        <v>1224</v>
      </c>
      <c r="F159" s="74" t="s">
        <v>1226</v>
      </c>
      <c r="G159" s="74" t="s">
        <v>1225</v>
      </c>
    </row>
    <row r="160" spans="1:7" x14ac:dyDescent="0.2">
      <c r="A160" s="39">
        <v>2011</v>
      </c>
      <c r="B160" s="38" t="s">
        <v>1243</v>
      </c>
      <c r="C160" s="39" t="s">
        <v>1239</v>
      </c>
      <c r="D160" s="74" t="s">
        <v>1227</v>
      </c>
      <c r="E160" s="74" t="s">
        <v>1224</v>
      </c>
      <c r="F160" s="74" t="s">
        <v>1226</v>
      </c>
      <c r="G160" s="74" t="s">
        <v>1225</v>
      </c>
    </row>
    <row r="161" spans="1:7" x14ac:dyDescent="0.2">
      <c r="A161" s="39">
        <v>2013</v>
      </c>
      <c r="B161" s="38" t="s">
        <v>1244</v>
      </c>
      <c r="C161" s="39" t="s">
        <v>1239</v>
      </c>
      <c r="D161" s="74" t="s">
        <v>1227</v>
      </c>
      <c r="E161" s="74" t="s">
        <v>1224</v>
      </c>
      <c r="F161" s="74" t="s">
        <v>1226</v>
      </c>
      <c r="G161" s="74" t="s">
        <v>1225</v>
      </c>
    </row>
    <row r="162" spans="1:7" x14ac:dyDescent="0.2">
      <c r="A162" s="39">
        <v>2014</v>
      </c>
      <c r="B162" s="38" t="s">
        <v>1245</v>
      </c>
      <c r="C162" s="39" t="s">
        <v>1239</v>
      </c>
      <c r="D162" s="74" t="s">
        <v>1227</v>
      </c>
      <c r="E162" s="74" t="s">
        <v>1224</v>
      </c>
      <c r="F162" s="74" t="s">
        <v>1226</v>
      </c>
      <c r="G162" s="74" t="s">
        <v>1225</v>
      </c>
    </row>
    <row r="163" spans="1:7" x14ac:dyDescent="0.2">
      <c r="A163" s="39">
        <v>2020</v>
      </c>
      <c r="B163" s="38" t="s">
        <v>1246</v>
      </c>
      <c r="C163" s="39" t="s">
        <v>1239</v>
      </c>
      <c r="D163" s="74" t="s">
        <v>1227</v>
      </c>
      <c r="E163" s="74" t="s">
        <v>1224</v>
      </c>
      <c r="F163" s="74" t="s">
        <v>1226</v>
      </c>
      <c r="G163" s="74" t="s">
        <v>1226</v>
      </c>
    </row>
    <row r="164" spans="1:7" x14ac:dyDescent="0.2">
      <c r="A164" s="39">
        <v>2022</v>
      </c>
      <c r="B164" s="38" t="s">
        <v>1247</v>
      </c>
      <c r="C164" s="39" t="s">
        <v>1239</v>
      </c>
      <c r="D164" s="74" t="s">
        <v>1227</v>
      </c>
      <c r="E164" s="74" t="s">
        <v>1224</v>
      </c>
      <c r="F164" s="74" t="s">
        <v>1226</v>
      </c>
      <c r="G164" s="74" t="s">
        <v>1225</v>
      </c>
    </row>
    <row r="165" spans="1:7" x14ac:dyDescent="0.2">
      <c r="A165" s="39">
        <v>2023</v>
      </c>
      <c r="B165" s="38" t="s">
        <v>1248</v>
      </c>
      <c r="C165" s="39" t="s">
        <v>1239</v>
      </c>
      <c r="D165" s="74" t="s">
        <v>1227</v>
      </c>
      <c r="E165" s="74" t="s">
        <v>1224</v>
      </c>
      <c r="F165" s="74" t="s">
        <v>1226</v>
      </c>
      <c r="G165" s="74" t="s">
        <v>1226</v>
      </c>
    </row>
    <row r="166" spans="1:7" x14ac:dyDescent="0.2">
      <c r="A166" s="39">
        <v>2024</v>
      </c>
      <c r="B166" s="38" t="s">
        <v>1249</v>
      </c>
      <c r="C166" s="39" t="s">
        <v>1239</v>
      </c>
      <c r="D166" s="74" t="s">
        <v>1227</v>
      </c>
      <c r="E166" s="74" t="s">
        <v>1224</v>
      </c>
      <c r="F166" s="74" t="s">
        <v>1226</v>
      </c>
      <c r="G166" s="74" t="s">
        <v>1225</v>
      </c>
    </row>
    <row r="167" spans="1:7" x14ac:dyDescent="0.2">
      <c r="A167" s="39">
        <v>2031</v>
      </c>
      <c r="B167" s="38" t="s">
        <v>1250</v>
      </c>
      <c r="C167" s="39" t="s">
        <v>1239</v>
      </c>
      <c r="D167" s="74" t="s">
        <v>1227</v>
      </c>
      <c r="E167" s="74" t="s">
        <v>1224</v>
      </c>
      <c r="F167" s="74" t="s">
        <v>1226</v>
      </c>
      <c r="G167" s="74" t="s">
        <v>1225</v>
      </c>
    </row>
    <row r="168" spans="1:7" x14ac:dyDescent="0.2">
      <c r="A168" s="39">
        <v>2032</v>
      </c>
      <c r="B168" s="38" t="s">
        <v>1251</v>
      </c>
      <c r="C168" s="39" t="s">
        <v>1239</v>
      </c>
      <c r="D168" s="74" t="s">
        <v>1227</v>
      </c>
      <c r="E168" s="74" t="s">
        <v>1224</v>
      </c>
      <c r="F168" s="74" t="s">
        <v>1226</v>
      </c>
      <c r="G168" s="74" t="s">
        <v>1225</v>
      </c>
    </row>
    <row r="169" spans="1:7" x14ac:dyDescent="0.2">
      <c r="A169" s="39">
        <v>2033</v>
      </c>
      <c r="B169" s="38" t="s">
        <v>1252</v>
      </c>
      <c r="C169" s="39" t="s">
        <v>1239</v>
      </c>
      <c r="D169" s="74" t="s">
        <v>1227</v>
      </c>
      <c r="E169" s="74" t="s">
        <v>1224</v>
      </c>
      <c r="F169" s="74" t="s">
        <v>1226</v>
      </c>
      <c r="G169" s="74" t="s">
        <v>1225</v>
      </c>
    </row>
    <row r="170" spans="1:7" x14ac:dyDescent="0.2">
      <c r="A170" s="39">
        <v>2034</v>
      </c>
      <c r="B170" s="38" t="s">
        <v>1253</v>
      </c>
      <c r="C170" s="39" t="s">
        <v>1239</v>
      </c>
      <c r="D170" s="74" t="s">
        <v>1227</v>
      </c>
      <c r="E170" s="74" t="s">
        <v>1224</v>
      </c>
      <c r="F170" s="74" t="s">
        <v>1226</v>
      </c>
      <c r="G170" s="74" t="s">
        <v>1226</v>
      </c>
    </row>
    <row r="171" spans="1:7" x14ac:dyDescent="0.2">
      <c r="A171" s="39">
        <v>2041</v>
      </c>
      <c r="B171" s="38" t="s">
        <v>1254</v>
      </c>
      <c r="C171" s="39" t="s">
        <v>1239</v>
      </c>
      <c r="D171" s="74" t="s">
        <v>1227</v>
      </c>
      <c r="E171" s="74" t="s">
        <v>1224</v>
      </c>
      <c r="F171" s="74" t="s">
        <v>1226</v>
      </c>
      <c r="G171" s="74" t="s">
        <v>1226</v>
      </c>
    </row>
    <row r="172" spans="1:7" x14ac:dyDescent="0.2">
      <c r="A172" s="39">
        <v>2042</v>
      </c>
      <c r="B172" s="38" t="s">
        <v>1255</v>
      </c>
      <c r="C172" s="39" t="s">
        <v>1239</v>
      </c>
      <c r="D172" s="74" t="s">
        <v>1227</v>
      </c>
      <c r="E172" s="74" t="s">
        <v>1224</v>
      </c>
      <c r="F172" s="74" t="s">
        <v>1226</v>
      </c>
      <c r="G172" s="74" t="s">
        <v>1225</v>
      </c>
    </row>
    <row r="173" spans="1:7" x14ac:dyDescent="0.2">
      <c r="A173" s="39">
        <v>2051</v>
      </c>
      <c r="B173" s="38" t="s">
        <v>1256</v>
      </c>
      <c r="C173" s="39" t="s">
        <v>1239</v>
      </c>
      <c r="D173" s="74" t="s">
        <v>1227</v>
      </c>
      <c r="E173" s="74" t="s">
        <v>1224</v>
      </c>
      <c r="F173" s="74" t="s">
        <v>1226</v>
      </c>
      <c r="G173" s="74" t="s">
        <v>1226</v>
      </c>
    </row>
    <row r="174" spans="1:7" x14ac:dyDescent="0.2">
      <c r="A174" s="39">
        <v>2052</v>
      </c>
      <c r="B174" s="38" t="s">
        <v>1257</v>
      </c>
      <c r="C174" s="39" t="s">
        <v>1239</v>
      </c>
      <c r="D174" s="74" t="s">
        <v>1227</v>
      </c>
      <c r="E174" s="74" t="s">
        <v>1224</v>
      </c>
      <c r="F174" s="74" t="s">
        <v>1226</v>
      </c>
      <c r="G174" s="74" t="s">
        <v>1225</v>
      </c>
    </row>
    <row r="175" spans="1:7" x14ac:dyDescent="0.2">
      <c r="A175" s="39">
        <v>2053</v>
      </c>
      <c r="B175" s="38" t="s">
        <v>1258</v>
      </c>
      <c r="C175" s="39" t="s">
        <v>1239</v>
      </c>
      <c r="D175" s="74" t="s">
        <v>1227</v>
      </c>
      <c r="E175" s="74" t="s">
        <v>1224</v>
      </c>
      <c r="F175" s="74" t="s">
        <v>1226</v>
      </c>
      <c r="G175" s="74" t="s">
        <v>1225</v>
      </c>
    </row>
    <row r="176" spans="1:7" x14ac:dyDescent="0.2">
      <c r="A176" s="39">
        <v>2054</v>
      </c>
      <c r="B176" s="38" t="s">
        <v>1259</v>
      </c>
      <c r="C176" s="39" t="s">
        <v>1239</v>
      </c>
      <c r="D176" s="74" t="s">
        <v>1227</v>
      </c>
      <c r="E176" s="74" t="s">
        <v>1224</v>
      </c>
      <c r="F176" s="74" t="s">
        <v>1226</v>
      </c>
      <c r="G176" s="74" t="s">
        <v>1226</v>
      </c>
    </row>
    <row r="177" spans="1:7" x14ac:dyDescent="0.2">
      <c r="A177" s="39">
        <v>2061</v>
      </c>
      <c r="B177" s="38" t="s">
        <v>1260</v>
      </c>
      <c r="C177" s="39" t="s">
        <v>1239</v>
      </c>
      <c r="D177" s="74" t="s">
        <v>1227</v>
      </c>
      <c r="E177" s="74" t="s">
        <v>1224</v>
      </c>
      <c r="F177" s="74" t="s">
        <v>1226</v>
      </c>
      <c r="G177" s="74" t="s">
        <v>1226</v>
      </c>
    </row>
    <row r="178" spans="1:7" x14ac:dyDescent="0.2">
      <c r="A178" s="39">
        <v>2062</v>
      </c>
      <c r="B178" s="38" t="s">
        <v>1261</v>
      </c>
      <c r="C178" s="39" t="s">
        <v>1239</v>
      </c>
      <c r="D178" s="74" t="s">
        <v>1227</v>
      </c>
      <c r="E178" s="74" t="s">
        <v>1224</v>
      </c>
      <c r="F178" s="74" t="s">
        <v>1226</v>
      </c>
      <c r="G178" s="74" t="s">
        <v>1225</v>
      </c>
    </row>
    <row r="179" spans="1:7" x14ac:dyDescent="0.2">
      <c r="A179" s="39">
        <v>2063</v>
      </c>
      <c r="B179" s="38" t="s">
        <v>1262</v>
      </c>
      <c r="C179" s="39" t="s">
        <v>1239</v>
      </c>
      <c r="D179" s="74" t="s">
        <v>1227</v>
      </c>
      <c r="E179" s="74" t="s">
        <v>1224</v>
      </c>
      <c r="F179" s="74" t="s">
        <v>1226</v>
      </c>
      <c r="G179" s="74" t="s">
        <v>1225</v>
      </c>
    </row>
    <row r="180" spans="1:7" x14ac:dyDescent="0.2">
      <c r="A180" s="39">
        <v>2064</v>
      </c>
      <c r="B180" s="38" t="s">
        <v>1263</v>
      </c>
      <c r="C180" s="39" t="s">
        <v>1239</v>
      </c>
      <c r="D180" s="74" t="s">
        <v>1227</v>
      </c>
      <c r="E180" s="74" t="s">
        <v>1224</v>
      </c>
      <c r="F180" s="74" t="s">
        <v>1226</v>
      </c>
      <c r="G180" s="74" t="s">
        <v>1225</v>
      </c>
    </row>
    <row r="181" spans="1:7" x14ac:dyDescent="0.2">
      <c r="A181" s="39">
        <v>2070</v>
      </c>
      <c r="B181" s="38" t="s">
        <v>1264</v>
      </c>
      <c r="C181" s="39" t="s">
        <v>1239</v>
      </c>
      <c r="D181" s="74" t="s">
        <v>1227</v>
      </c>
      <c r="E181" s="74" t="s">
        <v>1224</v>
      </c>
      <c r="F181" s="74" t="s">
        <v>1226</v>
      </c>
      <c r="G181" s="74" t="s">
        <v>1226</v>
      </c>
    </row>
    <row r="182" spans="1:7" x14ac:dyDescent="0.2">
      <c r="A182" s="39">
        <v>2073</v>
      </c>
      <c r="B182" s="38" t="s">
        <v>1265</v>
      </c>
      <c r="C182" s="39" t="s">
        <v>1239</v>
      </c>
      <c r="D182" s="74" t="s">
        <v>1227</v>
      </c>
      <c r="E182" s="74" t="s">
        <v>1224</v>
      </c>
      <c r="F182" s="74" t="s">
        <v>1226</v>
      </c>
      <c r="G182" s="74" t="s">
        <v>1225</v>
      </c>
    </row>
    <row r="183" spans="1:7" x14ac:dyDescent="0.2">
      <c r="A183" s="39">
        <v>2074</v>
      </c>
      <c r="B183" s="38" t="s">
        <v>1266</v>
      </c>
      <c r="C183" s="39" t="s">
        <v>1239</v>
      </c>
      <c r="D183" s="74" t="s">
        <v>1227</v>
      </c>
      <c r="E183" s="74" t="s">
        <v>1224</v>
      </c>
      <c r="F183" s="74" t="s">
        <v>1226</v>
      </c>
      <c r="G183" s="74" t="s">
        <v>1225</v>
      </c>
    </row>
    <row r="184" spans="1:7" x14ac:dyDescent="0.2">
      <c r="A184" s="39">
        <v>2081</v>
      </c>
      <c r="B184" s="38" t="s">
        <v>1267</v>
      </c>
      <c r="C184" s="39" t="s">
        <v>1239</v>
      </c>
      <c r="D184" s="74" t="s">
        <v>1227</v>
      </c>
      <c r="E184" s="74" t="s">
        <v>1224</v>
      </c>
      <c r="F184" s="74" t="s">
        <v>1226</v>
      </c>
      <c r="G184" s="74" t="s">
        <v>1225</v>
      </c>
    </row>
    <row r="185" spans="1:7" x14ac:dyDescent="0.2">
      <c r="A185" s="39">
        <v>2082</v>
      </c>
      <c r="B185" s="38" t="s">
        <v>1268</v>
      </c>
      <c r="C185" s="39" t="s">
        <v>1239</v>
      </c>
      <c r="D185" s="74" t="s">
        <v>1227</v>
      </c>
      <c r="E185" s="74" t="s">
        <v>1224</v>
      </c>
      <c r="F185" s="74" t="s">
        <v>1226</v>
      </c>
      <c r="G185" s="74" t="s">
        <v>1225</v>
      </c>
    </row>
    <row r="186" spans="1:7" x14ac:dyDescent="0.2">
      <c r="A186" s="39">
        <v>2083</v>
      </c>
      <c r="B186" s="38" t="s">
        <v>1269</v>
      </c>
      <c r="C186" s="39" t="s">
        <v>1239</v>
      </c>
      <c r="D186" s="74" t="s">
        <v>1227</v>
      </c>
      <c r="E186" s="74" t="s">
        <v>1224</v>
      </c>
      <c r="F186" s="74" t="s">
        <v>1226</v>
      </c>
      <c r="G186" s="74" t="s">
        <v>1225</v>
      </c>
    </row>
    <row r="187" spans="1:7" x14ac:dyDescent="0.2">
      <c r="A187" s="39">
        <v>2084</v>
      </c>
      <c r="B187" s="38" t="s">
        <v>1270</v>
      </c>
      <c r="C187" s="39" t="s">
        <v>1239</v>
      </c>
      <c r="D187" s="74" t="s">
        <v>1227</v>
      </c>
      <c r="E187" s="74" t="s">
        <v>1224</v>
      </c>
      <c r="F187" s="74" t="s">
        <v>1226</v>
      </c>
      <c r="G187" s="74" t="s">
        <v>1226</v>
      </c>
    </row>
    <row r="188" spans="1:7" x14ac:dyDescent="0.2">
      <c r="A188" s="39">
        <v>2091</v>
      </c>
      <c r="B188" s="38" t="s">
        <v>1271</v>
      </c>
      <c r="C188" s="39" t="s">
        <v>1239</v>
      </c>
      <c r="D188" s="74" t="s">
        <v>1227</v>
      </c>
      <c r="E188" s="74" t="s">
        <v>1224</v>
      </c>
      <c r="F188" s="74" t="s">
        <v>1226</v>
      </c>
      <c r="G188" s="74" t="s">
        <v>1225</v>
      </c>
    </row>
    <row r="189" spans="1:7" x14ac:dyDescent="0.2">
      <c r="A189" s="39">
        <v>2092</v>
      </c>
      <c r="B189" s="38" t="s">
        <v>1272</v>
      </c>
      <c r="C189" s="39" t="s">
        <v>1239</v>
      </c>
      <c r="D189" s="74" t="s">
        <v>1227</v>
      </c>
      <c r="E189" s="74" t="s">
        <v>1224</v>
      </c>
      <c r="F189" s="74" t="s">
        <v>1226</v>
      </c>
      <c r="G189" s="74" t="s">
        <v>1225</v>
      </c>
    </row>
    <row r="190" spans="1:7" x14ac:dyDescent="0.2">
      <c r="A190" s="39">
        <v>2093</v>
      </c>
      <c r="B190" s="38" t="s">
        <v>1273</v>
      </c>
      <c r="C190" s="39" t="s">
        <v>1239</v>
      </c>
      <c r="D190" s="74" t="s">
        <v>1227</v>
      </c>
      <c r="E190" s="74" t="s">
        <v>1224</v>
      </c>
      <c r="F190" s="74" t="s">
        <v>1226</v>
      </c>
      <c r="G190" s="74" t="s">
        <v>1226</v>
      </c>
    </row>
    <row r="191" spans="1:7" x14ac:dyDescent="0.2">
      <c r="A191" s="39">
        <v>2094</v>
      </c>
      <c r="B191" s="38" t="s">
        <v>1274</v>
      </c>
      <c r="C191" s="39" t="s">
        <v>1239</v>
      </c>
      <c r="D191" s="74" t="s">
        <v>1227</v>
      </c>
      <c r="E191" s="74" t="s">
        <v>1224</v>
      </c>
      <c r="F191" s="74" t="s">
        <v>1226</v>
      </c>
      <c r="G191" s="74" t="s">
        <v>1225</v>
      </c>
    </row>
    <row r="192" spans="1:7" x14ac:dyDescent="0.2">
      <c r="A192" s="39">
        <v>2095</v>
      </c>
      <c r="B192" s="38" t="s">
        <v>1275</v>
      </c>
      <c r="C192" s="39" t="s">
        <v>1239</v>
      </c>
      <c r="D192" s="74" t="s">
        <v>1227</v>
      </c>
      <c r="E192" s="74" t="s">
        <v>1224</v>
      </c>
      <c r="F192" s="74" t="s">
        <v>1226</v>
      </c>
      <c r="G192" s="74" t="s">
        <v>1225</v>
      </c>
    </row>
    <row r="193" spans="1:7" x14ac:dyDescent="0.2">
      <c r="A193" s="39">
        <v>2100</v>
      </c>
      <c r="B193" s="38" t="s">
        <v>1276</v>
      </c>
      <c r="C193" s="39" t="s">
        <v>1239</v>
      </c>
      <c r="D193" s="74" t="s">
        <v>1227</v>
      </c>
      <c r="E193" s="74" t="s">
        <v>1224</v>
      </c>
      <c r="F193" s="74" t="s">
        <v>1226</v>
      </c>
      <c r="G193" s="74" t="s">
        <v>1226</v>
      </c>
    </row>
    <row r="194" spans="1:7" x14ac:dyDescent="0.2">
      <c r="A194" s="39">
        <v>2102</v>
      </c>
      <c r="B194" s="38" t="s">
        <v>1277</v>
      </c>
      <c r="C194" s="39" t="s">
        <v>1239</v>
      </c>
      <c r="D194" s="74" t="s">
        <v>1227</v>
      </c>
      <c r="E194" s="74" t="s">
        <v>1224</v>
      </c>
      <c r="F194" s="74" t="s">
        <v>1226</v>
      </c>
      <c r="G194" s="74" t="s">
        <v>1226</v>
      </c>
    </row>
    <row r="195" spans="1:7" x14ac:dyDescent="0.2">
      <c r="A195" s="39">
        <v>2103</v>
      </c>
      <c r="B195" s="38" t="s">
        <v>1278</v>
      </c>
      <c r="C195" s="39" t="s">
        <v>1239</v>
      </c>
      <c r="D195" s="74" t="s">
        <v>1227</v>
      </c>
      <c r="E195" s="74" t="s">
        <v>1224</v>
      </c>
      <c r="F195" s="74" t="s">
        <v>1226</v>
      </c>
      <c r="G195" s="74" t="s">
        <v>1226</v>
      </c>
    </row>
    <row r="196" spans="1:7" x14ac:dyDescent="0.2">
      <c r="A196" s="39">
        <v>2104</v>
      </c>
      <c r="B196" s="38" t="s">
        <v>1279</v>
      </c>
      <c r="C196" s="39" t="s">
        <v>1239</v>
      </c>
      <c r="D196" s="74" t="s">
        <v>1227</v>
      </c>
      <c r="E196" s="74" t="s">
        <v>1224</v>
      </c>
      <c r="F196" s="74" t="s">
        <v>1226</v>
      </c>
      <c r="G196" s="74" t="s">
        <v>1226</v>
      </c>
    </row>
    <row r="197" spans="1:7" x14ac:dyDescent="0.2">
      <c r="A197" s="39">
        <v>2105</v>
      </c>
      <c r="B197" s="38" t="s">
        <v>1280</v>
      </c>
      <c r="C197" s="39" t="s">
        <v>1239</v>
      </c>
      <c r="D197" s="74" t="s">
        <v>1227</v>
      </c>
      <c r="E197" s="74" t="s">
        <v>1224</v>
      </c>
      <c r="F197" s="74" t="s">
        <v>1226</v>
      </c>
      <c r="G197" s="74" t="s">
        <v>1225</v>
      </c>
    </row>
    <row r="198" spans="1:7" x14ac:dyDescent="0.2">
      <c r="A198" s="39">
        <v>2111</v>
      </c>
      <c r="B198" s="38" t="s">
        <v>1281</v>
      </c>
      <c r="C198" s="39" t="s">
        <v>1239</v>
      </c>
      <c r="D198" s="74" t="s">
        <v>1227</v>
      </c>
      <c r="E198" s="74" t="s">
        <v>1224</v>
      </c>
      <c r="F198" s="74" t="s">
        <v>1226</v>
      </c>
      <c r="G198" s="74" t="s">
        <v>1225</v>
      </c>
    </row>
    <row r="199" spans="1:7" x14ac:dyDescent="0.2">
      <c r="A199" s="39">
        <v>2112</v>
      </c>
      <c r="B199" s="38" t="s">
        <v>1282</v>
      </c>
      <c r="C199" s="39" t="s">
        <v>1239</v>
      </c>
      <c r="D199" s="74" t="s">
        <v>1227</v>
      </c>
      <c r="E199" s="74" t="s">
        <v>1224</v>
      </c>
      <c r="F199" s="74" t="s">
        <v>1226</v>
      </c>
      <c r="G199" s="74" t="s">
        <v>1225</v>
      </c>
    </row>
    <row r="200" spans="1:7" x14ac:dyDescent="0.2">
      <c r="A200" s="39">
        <v>2113</v>
      </c>
      <c r="B200" s="38" t="s">
        <v>1283</v>
      </c>
      <c r="C200" s="39" t="s">
        <v>1239</v>
      </c>
      <c r="D200" s="74" t="s">
        <v>1227</v>
      </c>
      <c r="E200" s="74" t="s">
        <v>1224</v>
      </c>
      <c r="F200" s="74" t="s">
        <v>1226</v>
      </c>
      <c r="G200" s="74" t="s">
        <v>1225</v>
      </c>
    </row>
    <row r="201" spans="1:7" x14ac:dyDescent="0.2">
      <c r="A201" s="39">
        <v>2114</v>
      </c>
      <c r="B201" s="38" t="s">
        <v>1284</v>
      </c>
      <c r="C201" s="39" t="s">
        <v>1239</v>
      </c>
      <c r="D201" s="74" t="s">
        <v>1227</v>
      </c>
      <c r="E201" s="74" t="s">
        <v>1224</v>
      </c>
      <c r="F201" s="74" t="s">
        <v>1226</v>
      </c>
      <c r="G201" s="74" t="s">
        <v>1225</v>
      </c>
    </row>
    <row r="202" spans="1:7" x14ac:dyDescent="0.2">
      <c r="A202" s="39">
        <v>2115</v>
      </c>
      <c r="B202" s="38" t="s">
        <v>1285</v>
      </c>
      <c r="C202" s="39" t="s">
        <v>1239</v>
      </c>
      <c r="D202" s="74" t="s">
        <v>1227</v>
      </c>
      <c r="E202" s="74" t="s">
        <v>1224</v>
      </c>
      <c r="F202" s="74" t="s">
        <v>1226</v>
      </c>
      <c r="G202" s="74" t="s">
        <v>1226</v>
      </c>
    </row>
    <row r="203" spans="1:7" x14ac:dyDescent="0.2">
      <c r="A203" s="39">
        <v>2116</v>
      </c>
      <c r="B203" s="38" t="s">
        <v>1286</v>
      </c>
      <c r="C203" s="39" t="s">
        <v>1239</v>
      </c>
      <c r="D203" s="74" t="s">
        <v>1227</v>
      </c>
      <c r="E203" s="74" t="s">
        <v>1224</v>
      </c>
      <c r="F203" s="74" t="s">
        <v>1226</v>
      </c>
      <c r="G203" s="74" t="s">
        <v>1225</v>
      </c>
    </row>
    <row r="204" spans="1:7" x14ac:dyDescent="0.2">
      <c r="A204" s="39">
        <v>2120</v>
      </c>
      <c r="B204" s="38" t="s">
        <v>1287</v>
      </c>
      <c r="C204" s="39" t="s">
        <v>1239</v>
      </c>
      <c r="D204" s="74" t="s">
        <v>1227</v>
      </c>
      <c r="E204" s="74" t="s">
        <v>1224</v>
      </c>
      <c r="F204" s="74" t="s">
        <v>1226</v>
      </c>
      <c r="G204" s="74" t="s">
        <v>1226</v>
      </c>
    </row>
    <row r="205" spans="1:7" x14ac:dyDescent="0.2">
      <c r="A205" s="39">
        <v>2122</v>
      </c>
      <c r="B205" s="38" t="s">
        <v>1288</v>
      </c>
      <c r="C205" s="39" t="s">
        <v>1239</v>
      </c>
      <c r="D205" s="74" t="s">
        <v>1227</v>
      </c>
      <c r="E205" s="74" t="s">
        <v>1224</v>
      </c>
      <c r="F205" s="74" t="s">
        <v>1226</v>
      </c>
      <c r="G205" s="74" t="s">
        <v>1226</v>
      </c>
    </row>
    <row r="206" spans="1:7" x14ac:dyDescent="0.2">
      <c r="A206" s="39">
        <v>2123</v>
      </c>
      <c r="B206" s="38" t="s">
        <v>1289</v>
      </c>
      <c r="C206" s="39" t="s">
        <v>1239</v>
      </c>
      <c r="D206" s="74" t="s">
        <v>1227</v>
      </c>
      <c r="E206" s="74" t="s">
        <v>1224</v>
      </c>
      <c r="F206" s="74" t="s">
        <v>1226</v>
      </c>
      <c r="G206" s="74" t="s">
        <v>1225</v>
      </c>
    </row>
    <row r="207" spans="1:7" x14ac:dyDescent="0.2">
      <c r="A207" s="39">
        <v>2124</v>
      </c>
      <c r="B207" s="38" t="s">
        <v>1290</v>
      </c>
      <c r="C207" s="39" t="s">
        <v>1239</v>
      </c>
      <c r="D207" s="74" t="s">
        <v>1227</v>
      </c>
      <c r="E207" s="74" t="s">
        <v>1224</v>
      </c>
      <c r="F207" s="74" t="s">
        <v>1226</v>
      </c>
      <c r="G207" s="74" t="s">
        <v>1226</v>
      </c>
    </row>
    <row r="208" spans="1:7" x14ac:dyDescent="0.2">
      <c r="A208" s="39">
        <v>2125</v>
      </c>
      <c r="B208" s="38" t="s">
        <v>1291</v>
      </c>
      <c r="C208" s="39" t="s">
        <v>1239</v>
      </c>
      <c r="D208" s="74" t="s">
        <v>1227</v>
      </c>
      <c r="E208" s="74" t="s">
        <v>1224</v>
      </c>
      <c r="F208" s="74" t="s">
        <v>1226</v>
      </c>
      <c r="G208" s="74" t="s">
        <v>1225</v>
      </c>
    </row>
    <row r="209" spans="1:7" x14ac:dyDescent="0.2">
      <c r="A209" s="39">
        <v>2126</v>
      </c>
      <c r="B209" s="38" t="s">
        <v>1292</v>
      </c>
      <c r="C209" s="39" t="s">
        <v>1239</v>
      </c>
      <c r="D209" s="74" t="s">
        <v>1227</v>
      </c>
      <c r="E209" s="74" t="s">
        <v>1224</v>
      </c>
      <c r="F209" s="74" t="s">
        <v>1226</v>
      </c>
      <c r="G209" s="74" t="s">
        <v>1225</v>
      </c>
    </row>
    <row r="210" spans="1:7" x14ac:dyDescent="0.2">
      <c r="A210" s="39">
        <v>2130</v>
      </c>
      <c r="B210" s="38" t="s">
        <v>1293</v>
      </c>
      <c r="C210" s="39" t="s">
        <v>1239</v>
      </c>
      <c r="D210" s="74" t="s">
        <v>1227</v>
      </c>
      <c r="E210" s="74" t="s">
        <v>1224</v>
      </c>
      <c r="F210" s="74" t="s">
        <v>1226</v>
      </c>
      <c r="G210" s="74" t="s">
        <v>1226</v>
      </c>
    </row>
    <row r="211" spans="1:7" x14ac:dyDescent="0.2">
      <c r="A211" s="39">
        <v>2132</v>
      </c>
      <c r="B211" s="38" t="s">
        <v>1294</v>
      </c>
      <c r="C211" s="39" t="s">
        <v>1239</v>
      </c>
      <c r="D211" s="74" t="s">
        <v>1227</v>
      </c>
      <c r="E211" s="74" t="s">
        <v>1224</v>
      </c>
      <c r="F211" s="74" t="s">
        <v>1226</v>
      </c>
      <c r="G211" s="74" t="s">
        <v>1225</v>
      </c>
    </row>
    <row r="212" spans="1:7" x14ac:dyDescent="0.2">
      <c r="A212" s="39">
        <v>2133</v>
      </c>
      <c r="B212" s="38" t="s">
        <v>1295</v>
      </c>
      <c r="C212" s="39" t="s">
        <v>1239</v>
      </c>
      <c r="D212" s="74" t="s">
        <v>1227</v>
      </c>
      <c r="E212" s="74" t="s">
        <v>1224</v>
      </c>
      <c r="F212" s="74" t="s">
        <v>1226</v>
      </c>
      <c r="G212" s="74" t="s">
        <v>1225</v>
      </c>
    </row>
    <row r="213" spans="1:7" x14ac:dyDescent="0.2">
      <c r="A213" s="39">
        <v>2134</v>
      </c>
      <c r="B213" s="38" t="s">
        <v>1296</v>
      </c>
      <c r="C213" s="39" t="s">
        <v>1239</v>
      </c>
      <c r="D213" s="74" t="s">
        <v>1227</v>
      </c>
      <c r="E213" s="74" t="s">
        <v>1224</v>
      </c>
      <c r="F213" s="74" t="s">
        <v>1226</v>
      </c>
      <c r="G213" s="74" t="s">
        <v>1225</v>
      </c>
    </row>
    <row r="214" spans="1:7" x14ac:dyDescent="0.2">
      <c r="A214" s="39">
        <v>2135</v>
      </c>
      <c r="B214" s="38" t="s">
        <v>1297</v>
      </c>
      <c r="C214" s="39" t="s">
        <v>1239</v>
      </c>
      <c r="D214" s="74" t="s">
        <v>1227</v>
      </c>
      <c r="E214" s="74" t="s">
        <v>1224</v>
      </c>
      <c r="F214" s="74" t="s">
        <v>1226</v>
      </c>
      <c r="G214" s="74" t="s">
        <v>1225</v>
      </c>
    </row>
    <row r="215" spans="1:7" x14ac:dyDescent="0.2">
      <c r="A215" s="39">
        <v>2136</v>
      </c>
      <c r="B215" s="38" t="s">
        <v>1298</v>
      </c>
      <c r="C215" s="39" t="s">
        <v>1239</v>
      </c>
      <c r="D215" s="74" t="s">
        <v>1227</v>
      </c>
      <c r="E215" s="74" t="s">
        <v>1224</v>
      </c>
      <c r="F215" s="74" t="s">
        <v>1226</v>
      </c>
      <c r="G215" s="74" t="s">
        <v>1226</v>
      </c>
    </row>
    <row r="216" spans="1:7" x14ac:dyDescent="0.2">
      <c r="A216" s="39">
        <v>2141</v>
      </c>
      <c r="B216" s="38" t="s">
        <v>1299</v>
      </c>
      <c r="C216" s="39" t="s">
        <v>1239</v>
      </c>
      <c r="D216" s="74" t="s">
        <v>1227</v>
      </c>
      <c r="E216" s="74" t="s">
        <v>1224</v>
      </c>
      <c r="F216" s="74" t="s">
        <v>1226</v>
      </c>
      <c r="G216" s="74" t="s">
        <v>1226</v>
      </c>
    </row>
    <row r="217" spans="1:7" x14ac:dyDescent="0.2">
      <c r="A217" s="39">
        <v>2143</v>
      </c>
      <c r="B217" s="38" t="s">
        <v>1300</v>
      </c>
      <c r="C217" s="39" t="s">
        <v>1239</v>
      </c>
      <c r="D217" s="74" t="s">
        <v>1227</v>
      </c>
      <c r="E217" s="74" t="s">
        <v>1224</v>
      </c>
      <c r="F217" s="74" t="s">
        <v>1226</v>
      </c>
      <c r="G217" s="74" t="s">
        <v>1225</v>
      </c>
    </row>
    <row r="218" spans="1:7" x14ac:dyDescent="0.2">
      <c r="A218" s="39">
        <v>2144</v>
      </c>
      <c r="B218" s="38" t="s">
        <v>1301</v>
      </c>
      <c r="C218" s="39" t="s">
        <v>1239</v>
      </c>
      <c r="D218" s="74" t="s">
        <v>1227</v>
      </c>
      <c r="E218" s="74" t="s">
        <v>1224</v>
      </c>
      <c r="F218" s="74" t="s">
        <v>1226</v>
      </c>
      <c r="G218" s="74" t="s">
        <v>1225</v>
      </c>
    </row>
    <row r="219" spans="1:7" x14ac:dyDescent="0.2">
      <c r="A219" s="39">
        <v>2145</v>
      </c>
      <c r="B219" s="38" t="s">
        <v>1302</v>
      </c>
      <c r="C219" s="39" t="s">
        <v>1239</v>
      </c>
      <c r="D219" s="74" t="s">
        <v>1227</v>
      </c>
      <c r="E219" s="74" t="s">
        <v>1224</v>
      </c>
      <c r="F219" s="74" t="s">
        <v>1226</v>
      </c>
      <c r="G219" s="74" t="s">
        <v>1226</v>
      </c>
    </row>
    <row r="220" spans="1:7" x14ac:dyDescent="0.2">
      <c r="A220" s="39">
        <v>2151</v>
      </c>
      <c r="B220" s="38" t="s">
        <v>1303</v>
      </c>
      <c r="C220" s="39" t="s">
        <v>1239</v>
      </c>
      <c r="D220" s="74" t="s">
        <v>1227</v>
      </c>
      <c r="E220" s="74" t="s">
        <v>1224</v>
      </c>
      <c r="F220" s="74" t="s">
        <v>1226</v>
      </c>
      <c r="G220" s="74" t="s">
        <v>1225</v>
      </c>
    </row>
    <row r="221" spans="1:7" x14ac:dyDescent="0.2">
      <c r="A221" s="39">
        <v>2152</v>
      </c>
      <c r="B221" s="38" t="s">
        <v>1304</v>
      </c>
      <c r="C221" s="39" t="s">
        <v>1239</v>
      </c>
      <c r="D221" s="74" t="s">
        <v>1227</v>
      </c>
      <c r="E221" s="74" t="s">
        <v>1224</v>
      </c>
      <c r="F221" s="74" t="s">
        <v>1226</v>
      </c>
      <c r="G221" s="74" t="s">
        <v>1226</v>
      </c>
    </row>
    <row r="222" spans="1:7" x14ac:dyDescent="0.2">
      <c r="A222" s="39">
        <v>2153</v>
      </c>
      <c r="B222" s="38" t="s">
        <v>1305</v>
      </c>
      <c r="C222" s="39" t="s">
        <v>1239</v>
      </c>
      <c r="D222" s="74" t="s">
        <v>1227</v>
      </c>
      <c r="E222" s="74" t="s">
        <v>1224</v>
      </c>
      <c r="F222" s="74" t="s">
        <v>1226</v>
      </c>
      <c r="G222" s="74" t="s">
        <v>1225</v>
      </c>
    </row>
    <row r="223" spans="1:7" x14ac:dyDescent="0.2">
      <c r="A223" s="39">
        <v>2154</v>
      </c>
      <c r="B223" s="38" t="s">
        <v>1306</v>
      </c>
      <c r="C223" s="39" t="s">
        <v>1239</v>
      </c>
      <c r="D223" s="74" t="s">
        <v>1227</v>
      </c>
      <c r="E223" s="74" t="s">
        <v>1224</v>
      </c>
      <c r="F223" s="74" t="s">
        <v>1226</v>
      </c>
      <c r="G223" s="74" t="s">
        <v>1225</v>
      </c>
    </row>
    <row r="224" spans="1:7" x14ac:dyDescent="0.2">
      <c r="A224" s="39">
        <v>2161</v>
      </c>
      <c r="B224" s="38" t="s">
        <v>1307</v>
      </c>
      <c r="C224" s="39" t="s">
        <v>1239</v>
      </c>
      <c r="D224" s="74" t="s">
        <v>1227</v>
      </c>
      <c r="E224" s="74" t="s">
        <v>1224</v>
      </c>
      <c r="F224" s="74" t="s">
        <v>1226</v>
      </c>
      <c r="G224" s="74" t="s">
        <v>1226</v>
      </c>
    </row>
    <row r="225" spans="1:7" x14ac:dyDescent="0.2">
      <c r="A225" s="39">
        <v>2162</v>
      </c>
      <c r="B225" s="38" t="s">
        <v>1308</v>
      </c>
      <c r="C225" s="39" t="s">
        <v>1239</v>
      </c>
      <c r="D225" s="74" t="s">
        <v>1227</v>
      </c>
      <c r="E225" s="74" t="s">
        <v>1224</v>
      </c>
      <c r="F225" s="74" t="s">
        <v>1226</v>
      </c>
      <c r="G225" s="74" t="s">
        <v>1225</v>
      </c>
    </row>
    <row r="226" spans="1:7" x14ac:dyDescent="0.2">
      <c r="A226" s="39">
        <v>2163</v>
      </c>
      <c r="B226" s="38" t="s">
        <v>1309</v>
      </c>
      <c r="C226" s="39" t="s">
        <v>1239</v>
      </c>
      <c r="D226" s="74" t="s">
        <v>1227</v>
      </c>
      <c r="E226" s="74" t="s">
        <v>1224</v>
      </c>
      <c r="F226" s="74" t="s">
        <v>1226</v>
      </c>
      <c r="G226" s="74" t="s">
        <v>1226</v>
      </c>
    </row>
    <row r="227" spans="1:7" x14ac:dyDescent="0.2">
      <c r="A227" s="39">
        <v>2164</v>
      </c>
      <c r="B227" s="38" t="s">
        <v>1310</v>
      </c>
      <c r="C227" s="39" t="s">
        <v>1239</v>
      </c>
      <c r="D227" s="74" t="s">
        <v>1227</v>
      </c>
      <c r="E227" s="74" t="s">
        <v>1224</v>
      </c>
      <c r="F227" s="74" t="s">
        <v>1226</v>
      </c>
      <c r="G227" s="74" t="s">
        <v>1225</v>
      </c>
    </row>
    <row r="228" spans="1:7" x14ac:dyDescent="0.2">
      <c r="A228" s="39">
        <v>2165</v>
      </c>
      <c r="B228" s="38" t="s">
        <v>1311</v>
      </c>
      <c r="C228" s="39" t="s">
        <v>1239</v>
      </c>
      <c r="D228" s="74" t="s">
        <v>1227</v>
      </c>
      <c r="E228" s="74" t="s">
        <v>1224</v>
      </c>
      <c r="F228" s="74" t="s">
        <v>1226</v>
      </c>
      <c r="G228" s="74" t="s">
        <v>1225</v>
      </c>
    </row>
    <row r="229" spans="1:7" x14ac:dyDescent="0.2">
      <c r="A229" s="39">
        <v>2170</v>
      </c>
      <c r="B229" s="38" t="s">
        <v>1312</v>
      </c>
      <c r="C229" s="39" t="s">
        <v>1239</v>
      </c>
      <c r="D229" s="74" t="s">
        <v>1227</v>
      </c>
      <c r="E229" s="74" t="s">
        <v>1224</v>
      </c>
      <c r="F229" s="74" t="s">
        <v>1226</v>
      </c>
      <c r="G229" s="74" t="s">
        <v>1226</v>
      </c>
    </row>
    <row r="230" spans="1:7" x14ac:dyDescent="0.2">
      <c r="A230" s="39">
        <v>2171</v>
      </c>
      <c r="B230" s="38" t="s">
        <v>1313</v>
      </c>
      <c r="C230" s="39" t="s">
        <v>1239</v>
      </c>
      <c r="D230" s="74" t="s">
        <v>1227</v>
      </c>
      <c r="E230" s="74" t="s">
        <v>1224</v>
      </c>
      <c r="F230" s="74" t="s">
        <v>1226</v>
      </c>
      <c r="G230" s="74" t="s">
        <v>1225</v>
      </c>
    </row>
    <row r="231" spans="1:7" x14ac:dyDescent="0.2">
      <c r="A231" s="39">
        <v>2172</v>
      </c>
      <c r="B231" s="38" t="s">
        <v>1314</v>
      </c>
      <c r="C231" s="39" t="s">
        <v>1239</v>
      </c>
      <c r="D231" s="74" t="s">
        <v>1227</v>
      </c>
      <c r="E231" s="74" t="s">
        <v>1224</v>
      </c>
      <c r="F231" s="74" t="s">
        <v>1226</v>
      </c>
      <c r="G231" s="74" t="s">
        <v>1226</v>
      </c>
    </row>
    <row r="232" spans="1:7" x14ac:dyDescent="0.2">
      <c r="A232" s="39">
        <v>2181</v>
      </c>
      <c r="B232" s="38" t="s">
        <v>1315</v>
      </c>
      <c r="C232" s="39" t="s">
        <v>1239</v>
      </c>
      <c r="D232" s="74" t="s">
        <v>1227</v>
      </c>
      <c r="E232" s="74" t="s">
        <v>1224</v>
      </c>
      <c r="F232" s="74" t="s">
        <v>1226</v>
      </c>
      <c r="G232" s="74" t="s">
        <v>1225</v>
      </c>
    </row>
    <row r="233" spans="1:7" x14ac:dyDescent="0.2">
      <c r="A233" s="39">
        <v>2182</v>
      </c>
      <c r="B233" s="38" t="s">
        <v>1316</v>
      </c>
      <c r="C233" s="39" t="s">
        <v>1239</v>
      </c>
      <c r="D233" s="74" t="s">
        <v>1227</v>
      </c>
      <c r="E233" s="74" t="s">
        <v>1224</v>
      </c>
      <c r="F233" s="74" t="s">
        <v>1226</v>
      </c>
      <c r="G233" s="74" t="s">
        <v>1225</v>
      </c>
    </row>
    <row r="234" spans="1:7" x14ac:dyDescent="0.2">
      <c r="A234" s="39">
        <v>2183</v>
      </c>
      <c r="B234" s="38" t="s">
        <v>1317</v>
      </c>
      <c r="C234" s="39" t="s">
        <v>1239</v>
      </c>
      <c r="D234" s="74" t="s">
        <v>1227</v>
      </c>
      <c r="E234" s="74" t="s">
        <v>1224</v>
      </c>
      <c r="F234" s="74" t="s">
        <v>1226</v>
      </c>
      <c r="G234" s="74" t="s">
        <v>1225</v>
      </c>
    </row>
    <row r="235" spans="1:7" x14ac:dyDescent="0.2">
      <c r="A235" s="39">
        <v>2184</v>
      </c>
      <c r="B235" s="38" t="s">
        <v>1318</v>
      </c>
      <c r="C235" s="39" t="s">
        <v>1239</v>
      </c>
      <c r="D235" s="74" t="s">
        <v>1227</v>
      </c>
      <c r="E235" s="74" t="s">
        <v>1224</v>
      </c>
      <c r="F235" s="74" t="s">
        <v>1226</v>
      </c>
      <c r="G235" s="74" t="s">
        <v>1225</v>
      </c>
    </row>
    <row r="236" spans="1:7" x14ac:dyDescent="0.2">
      <c r="A236" s="39">
        <v>2185</v>
      </c>
      <c r="B236" s="38" t="s">
        <v>1319</v>
      </c>
      <c r="C236" s="39" t="s">
        <v>1239</v>
      </c>
      <c r="D236" s="74" t="s">
        <v>1227</v>
      </c>
      <c r="E236" s="74" t="s">
        <v>1224</v>
      </c>
      <c r="F236" s="74" t="s">
        <v>1226</v>
      </c>
      <c r="G236" s="74" t="s">
        <v>1225</v>
      </c>
    </row>
    <row r="237" spans="1:7" x14ac:dyDescent="0.2">
      <c r="A237" s="39">
        <v>2191</v>
      </c>
      <c r="B237" s="38" t="s">
        <v>1320</v>
      </c>
      <c r="C237" s="39" t="s">
        <v>1239</v>
      </c>
      <c r="D237" s="74" t="s">
        <v>1227</v>
      </c>
      <c r="E237" s="74" t="s">
        <v>1224</v>
      </c>
      <c r="F237" s="74" t="s">
        <v>1226</v>
      </c>
      <c r="G237" s="74" t="s">
        <v>1226</v>
      </c>
    </row>
    <row r="238" spans="1:7" x14ac:dyDescent="0.2">
      <c r="A238" s="39">
        <v>2192</v>
      </c>
      <c r="B238" s="38" t="s">
        <v>1321</v>
      </c>
      <c r="C238" s="39" t="s">
        <v>1239</v>
      </c>
      <c r="D238" s="74" t="s">
        <v>1227</v>
      </c>
      <c r="E238" s="74" t="s">
        <v>1224</v>
      </c>
      <c r="F238" s="74" t="s">
        <v>1226</v>
      </c>
      <c r="G238" s="74" t="s">
        <v>1225</v>
      </c>
    </row>
    <row r="239" spans="1:7" x14ac:dyDescent="0.2">
      <c r="A239" s="39">
        <v>2193</v>
      </c>
      <c r="B239" s="38" t="s">
        <v>1322</v>
      </c>
      <c r="C239" s="39" t="s">
        <v>1239</v>
      </c>
      <c r="D239" s="74" t="s">
        <v>1227</v>
      </c>
      <c r="E239" s="74" t="s">
        <v>1224</v>
      </c>
      <c r="F239" s="74" t="s">
        <v>1226</v>
      </c>
      <c r="G239" s="74" t="s">
        <v>1225</v>
      </c>
    </row>
    <row r="240" spans="1:7" x14ac:dyDescent="0.2">
      <c r="A240" s="39">
        <v>2201</v>
      </c>
      <c r="B240" s="38" t="s">
        <v>1323</v>
      </c>
      <c r="C240" s="39" t="s">
        <v>1239</v>
      </c>
      <c r="D240" s="74" t="s">
        <v>1227</v>
      </c>
      <c r="E240" s="74" t="s">
        <v>1224</v>
      </c>
      <c r="F240" s="74" t="s">
        <v>1226</v>
      </c>
      <c r="G240" s="74" t="s">
        <v>1226</v>
      </c>
    </row>
    <row r="241" spans="1:7" x14ac:dyDescent="0.2">
      <c r="A241" s="39">
        <v>2202</v>
      </c>
      <c r="B241" s="38" t="s">
        <v>1324</v>
      </c>
      <c r="C241" s="39" t="s">
        <v>1239</v>
      </c>
      <c r="D241" s="74" t="s">
        <v>1227</v>
      </c>
      <c r="E241" s="74" t="s">
        <v>1224</v>
      </c>
      <c r="F241" s="74" t="s">
        <v>1226</v>
      </c>
      <c r="G241" s="74" t="s">
        <v>1226</v>
      </c>
    </row>
    <row r="242" spans="1:7" x14ac:dyDescent="0.2">
      <c r="A242" s="39">
        <v>2203</v>
      </c>
      <c r="B242" s="38" t="s">
        <v>1325</v>
      </c>
      <c r="C242" s="39" t="s">
        <v>1239</v>
      </c>
      <c r="D242" s="74" t="s">
        <v>1227</v>
      </c>
      <c r="E242" s="74" t="s">
        <v>1224</v>
      </c>
      <c r="F242" s="74" t="s">
        <v>1226</v>
      </c>
      <c r="G242" s="74" t="s">
        <v>1226</v>
      </c>
    </row>
    <row r="243" spans="1:7" x14ac:dyDescent="0.2">
      <c r="A243" s="39">
        <v>2211</v>
      </c>
      <c r="B243" s="38" t="s">
        <v>1326</v>
      </c>
      <c r="C243" s="39" t="s">
        <v>1239</v>
      </c>
      <c r="D243" s="74" t="s">
        <v>1227</v>
      </c>
      <c r="E243" s="74" t="s">
        <v>1224</v>
      </c>
      <c r="F243" s="74" t="s">
        <v>1226</v>
      </c>
      <c r="G243" s="74" t="s">
        <v>1225</v>
      </c>
    </row>
    <row r="244" spans="1:7" x14ac:dyDescent="0.2">
      <c r="A244" s="39">
        <v>2212</v>
      </c>
      <c r="B244" s="38" t="s">
        <v>1327</v>
      </c>
      <c r="C244" s="39" t="s">
        <v>1239</v>
      </c>
      <c r="D244" s="74" t="s">
        <v>1227</v>
      </c>
      <c r="E244" s="74" t="s">
        <v>1224</v>
      </c>
      <c r="F244" s="74" t="s">
        <v>1226</v>
      </c>
      <c r="G244" s="74" t="s">
        <v>1225</v>
      </c>
    </row>
    <row r="245" spans="1:7" x14ac:dyDescent="0.2">
      <c r="A245" s="39">
        <v>2213</v>
      </c>
      <c r="B245" s="38" t="s">
        <v>1328</v>
      </c>
      <c r="C245" s="39" t="s">
        <v>1239</v>
      </c>
      <c r="D245" s="74" t="s">
        <v>1227</v>
      </c>
      <c r="E245" s="74" t="s">
        <v>1224</v>
      </c>
      <c r="F245" s="74" t="s">
        <v>1226</v>
      </c>
      <c r="G245" s="74" t="s">
        <v>1226</v>
      </c>
    </row>
    <row r="246" spans="1:7" x14ac:dyDescent="0.2">
      <c r="A246" s="39">
        <v>2214</v>
      </c>
      <c r="B246" s="38" t="s">
        <v>1329</v>
      </c>
      <c r="C246" s="39" t="s">
        <v>1239</v>
      </c>
      <c r="D246" s="74" t="s">
        <v>1227</v>
      </c>
      <c r="E246" s="74" t="s">
        <v>1224</v>
      </c>
      <c r="F246" s="74" t="s">
        <v>1226</v>
      </c>
      <c r="G246" s="74" t="s">
        <v>1226</v>
      </c>
    </row>
    <row r="247" spans="1:7" x14ac:dyDescent="0.2">
      <c r="A247" s="39">
        <v>2215</v>
      </c>
      <c r="B247" s="38" t="s">
        <v>1330</v>
      </c>
      <c r="C247" s="39" t="s">
        <v>1239</v>
      </c>
      <c r="D247" s="74" t="s">
        <v>1227</v>
      </c>
      <c r="E247" s="74" t="s">
        <v>1224</v>
      </c>
      <c r="F247" s="74" t="s">
        <v>1226</v>
      </c>
      <c r="G247" s="74" t="s">
        <v>1225</v>
      </c>
    </row>
    <row r="248" spans="1:7" x14ac:dyDescent="0.2">
      <c r="A248" s="39">
        <v>2221</v>
      </c>
      <c r="B248" s="38" t="s">
        <v>1331</v>
      </c>
      <c r="C248" s="39" t="s">
        <v>1239</v>
      </c>
      <c r="D248" s="74" t="s">
        <v>1227</v>
      </c>
      <c r="E248" s="74" t="s">
        <v>1224</v>
      </c>
      <c r="F248" s="74" t="s">
        <v>1226</v>
      </c>
      <c r="G248" s="74" t="s">
        <v>1225</v>
      </c>
    </row>
    <row r="249" spans="1:7" x14ac:dyDescent="0.2">
      <c r="A249" s="39">
        <v>2222</v>
      </c>
      <c r="B249" s="38" t="s">
        <v>1332</v>
      </c>
      <c r="C249" s="39" t="s">
        <v>1239</v>
      </c>
      <c r="D249" s="74" t="s">
        <v>1227</v>
      </c>
      <c r="E249" s="74" t="s">
        <v>1224</v>
      </c>
      <c r="F249" s="74" t="s">
        <v>1226</v>
      </c>
      <c r="G249" s="74" t="s">
        <v>1225</v>
      </c>
    </row>
    <row r="250" spans="1:7" x14ac:dyDescent="0.2">
      <c r="A250" s="39">
        <v>2223</v>
      </c>
      <c r="B250" s="38" t="s">
        <v>1333</v>
      </c>
      <c r="C250" s="39" t="s">
        <v>1239</v>
      </c>
      <c r="D250" s="74" t="s">
        <v>1227</v>
      </c>
      <c r="E250" s="74" t="s">
        <v>1224</v>
      </c>
      <c r="F250" s="74" t="s">
        <v>1226</v>
      </c>
      <c r="G250" s="74" t="s">
        <v>1225</v>
      </c>
    </row>
    <row r="251" spans="1:7" x14ac:dyDescent="0.2">
      <c r="A251" s="39">
        <v>2224</v>
      </c>
      <c r="B251" s="38" t="s">
        <v>1334</v>
      </c>
      <c r="C251" s="39" t="s">
        <v>1239</v>
      </c>
      <c r="D251" s="74" t="s">
        <v>1227</v>
      </c>
      <c r="E251" s="74" t="s">
        <v>1224</v>
      </c>
      <c r="F251" s="74" t="s">
        <v>1226</v>
      </c>
      <c r="G251" s="74" t="s">
        <v>1225</v>
      </c>
    </row>
    <row r="252" spans="1:7" x14ac:dyDescent="0.2">
      <c r="A252" s="39">
        <v>2225</v>
      </c>
      <c r="B252" s="38" t="s">
        <v>1335</v>
      </c>
      <c r="C252" s="39" t="s">
        <v>1239</v>
      </c>
      <c r="D252" s="74" t="s">
        <v>1227</v>
      </c>
      <c r="E252" s="74" t="s">
        <v>1224</v>
      </c>
      <c r="F252" s="74" t="s">
        <v>1226</v>
      </c>
      <c r="G252" s="74" t="s">
        <v>1226</v>
      </c>
    </row>
    <row r="253" spans="1:7" x14ac:dyDescent="0.2">
      <c r="A253" s="39">
        <v>2230</v>
      </c>
      <c r="B253" s="38" t="s">
        <v>1336</v>
      </c>
      <c r="C253" s="39" t="s">
        <v>1239</v>
      </c>
      <c r="D253" s="74" t="s">
        <v>1227</v>
      </c>
      <c r="E253" s="74" t="s">
        <v>1224</v>
      </c>
      <c r="F253" s="74" t="s">
        <v>1226</v>
      </c>
      <c r="G253" s="74" t="s">
        <v>1226</v>
      </c>
    </row>
    <row r="254" spans="1:7" x14ac:dyDescent="0.2">
      <c r="A254" s="39">
        <v>2231</v>
      </c>
      <c r="B254" s="38" t="s">
        <v>1337</v>
      </c>
      <c r="C254" s="39" t="s">
        <v>1239</v>
      </c>
      <c r="D254" s="74" t="s">
        <v>1227</v>
      </c>
      <c r="E254" s="74" t="s">
        <v>1224</v>
      </c>
      <c r="F254" s="74" t="s">
        <v>1226</v>
      </c>
      <c r="G254" s="74" t="s">
        <v>1226</v>
      </c>
    </row>
    <row r="255" spans="1:7" x14ac:dyDescent="0.2">
      <c r="A255" s="39">
        <v>2232</v>
      </c>
      <c r="B255" s="38" t="s">
        <v>1338</v>
      </c>
      <c r="C255" s="39" t="s">
        <v>1239</v>
      </c>
      <c r="D255" s="74" t="s">
        <v>1227</v>
      </c>
      <c r="E255" s="74" t="s">
        <v>1224</v>
      </c>
      <c r="F255" s="74" t="s">
        <v>1226</v>
      </c>
      <c r="G255" s="74" t="s">
        <v>1226</v>
      </c>
    </row>
    <row r="256" spans="1:7" x14ac:dyDescent="0.2">
      <c r="A256" s="39">
        <v>2241</v>
      </c>
      <c r="B256" s="38" t="s">
        <v>1339</v>
      </c>
      <c r="C256" s="39" t="s">
        <v>1239</v>
      </c>
      <c r="D256" s="74" t="s">
        <v>1227</v>
      </c>
      <c r="E256" s="74" t="s">
        <v>1224</v>
      </c>
      <c r="F256" s="74" t="s">
        <v>1226</v>
      </c>
      <c r="G256" s="74" t="s">
        <v>1225</v>
      </c>
    </row>
    <row r="257" spans="1:7" x14ac:dyDescent="0.2">
      <c r="A257" s="39">
        <v>2242</v>
      </c>
      <c r="B257" s="38" t="s">
        <v>1340</v>
      </c>
      <c r="C257" s="39" t="s">
        <v>1239</v>
      </c>
      <c r="D257" s="74" t="s">
        <v>1227</v>
      </c>
      <c r="E257" s="74" t="s">
        <v>1224</v>
      </c>
      <c r="F257" s="74" t="s">
        <v>1226</v>
      </c>
      <c r="G257" s="74" t="s">
        <v>1226</v>
      </c>
    </row>
    <row r="258" spans="1:7" x14ac:dyDescent="0.2">
      <c r="A258" s="39">
        <v>2243</v>
      </c>
      <c r="B258" s="38" t="s">
        <v>1341</v>
      </c>
      <c r="C258" s="39" t="s">
        <v>1239</v>
      </c>
      <c r="D258" s="74" t="s">
        <v>1227</v>
      </c>
      <c r="E258" s="74" t="s">
        <v>1224</v>
      </c>
      <c r="F258" s="74" t="s">
        <v>1226</v>
      </c>
      <c r="G258" s="74" t="s">
        <v>1225</v>
      </c>
    </row>
    <row r="259" spans="1:7" x14ac:dyDescent="0.2">
      <c r="A259" s="39">
        <v>2244</v>
      </c>
      <c r="B259" s="38" t="s">
        <v>1342</v>
      </c>
      <c r="C259" s="39" t="s">
        <v>1239</v>
      </c>
      <c r="D259" s="74" t="s">
        <v>1227</v>
      </c>
      <c r="E259" s="74" t="s">
        <v>1224</v>
      </c>
      <c r="F259" s="74" t="s">
        <v>1226</v>
      </c>
      <c r="G259" s="74" t="s">
        <v>1225</v>
      </c>
    </row>
    <row r="260" spans="1:7" x14ac:dyDescent="0.2">
      <c r="A260" s="39">
        <v>2245</v>
      </c>
      <c r="B260" s="38" t="s">
        <v>1343</v>
      </c>
      <c r="C260" s="39" t="s">
        <v>1239</v>
      </c>
      <c r="D260" s="74" t="s">
        <v>1227</v>
      </c>
      <c r="E260" s="74" t="s">
        <v>1224</v>
      </c>
      <c r="F260" s="74" t="s">
        <v>1226</v>
      </c>
      <c r="G260" s="74" t="s">
        <v>1225</v>
      </c>
    </row>
    <row r="261" spans="1:7" x14ac:dyDescent="0.2">
      <c r="A261" s="39">
        <v>2251</v>
      </c>
      <c r="B261" s="38" t="s">
        <v>1344</v>
      </c>
      <c r="C261" s="39" t="s">
        <v>1239</v>
      </c>
      <c r="D261" s="74" t="s">
        <v>1227</v>
      </c>
      <c r="E261" s="74" t="s">
        <v>1224</v>
      </c>
      <c r="F261" s="74" t="s">
        <v>1226</v>
      </c>
      <c r="G261" s="74" t="s">
        <v>1225</v>
      </c>
    </row>
    <row r="262" spans="1:7" x14ac:dyDescent="0.2">
      <c r="A262" s="39">
        <v>2252</v>
      </c>
      <c r="B262" s="38" t="s">
        <v>1345</v>
      </c>
      <c r="C262" s="39" t="s">
        <v>1239</v>
      </c>
      <c r="D262" s="74" t="s">
        <v>1227</v>
      </c>
      <c r="E262" s="74" t="s">
        <v>1224</v>
      </c>
      <c r="F262" s="74" t="s">
        <v>1226</v>
      </c>
      <c r="G262" s="74" t="s">
        <v>1225</v>
      </c>
    </row>
    <row r="263" spans="1:7" x14ac:dyDescent="0.2">
      <c r="A263" s="39">
        <v>2253</v>
      </c>
      <c r="B263" s="38" t="s">
        <v>1346</v>
      </c>
      <c r="C263" s="39" t="s">
        <v>1239</v>
      </c>
      <c r="D263" s="74" t="s">
        <v>1227</v>
      </c>
      <c r="E263" s="74" t="s">
        <v>1224</v>
      </c>
      <c r="F263" s="74" t="s">
        <v>1226</v>
      </c>
      <c r="G263" s="74" t="s">
        <v>1225</v>
      </c>
    </row>
    <row r="264" spans="1:7" x14ac:dyDescent="0.2">
      <c r="A264" s="39">
        <v>2261</v>
      </c>
      <c r="B264" s="38" t="s">
        <v>1347</v>
      </c>
      <c r="C264" s="39" t="s">
        <v>1239</v>
      </c>
      <c r="D264" s="74" t="s">
        <v>1227</v>
      </c>
      <c r="E264" s="74" t="s">
        <v>1224</v>
      </c>
      <c r="F264" s="74" t="s">
        <v>1226</v>
      </c>
      <c r="G264" s="74" t="s">
        <v>1226</v>
      </c>
    </row>
    <row r="265" spans="1:7" x14ac:dyDescent="0.2">
      <c r="A265" s="39">
        <v>2262</v>
      </c>
      <c r="B265" s="38" t="s">
        <v>1348</v>
      </c>
      <c r="C265" s="39" t="s">
        <v>1239</v>
      </c>
      <c r="D265" s="74" t="s">
        <v>1227</v>
      </c>
      <c r="E265" s="74" t="s">
        <v>1224</v>
      </c>
      <c r="F265" s="74" t="s">
        <v>1226</v>
      </c>
      <c r="G265" s="74" t="s">
        <v>1225</v>
      </c>
    </row>
    <row r="266" spans="1:7" x14ac:dyDescent="0.2">
      <c r="A266" s="39">
        <v>2263</v>
      </c>
      <c r="B266" s="38" t="s">
        <v>1349</v>
      </c>
      <c r="C266" s="39" t="s">
        <v>1239</v>
      </c>
      <c r="D266" s="74" t="s">
        <v>1227</v>
      </c>
      <c r="E266" s="74" t="s">
        <v>1224</v>
      </c>
      <c r="F266" s="74" t="s">
        <v>1226</v>
      </c>
      <c r="G266" s="74" t="s">
        <v>1226</v>
      </c>
    </row>
    <row r="267" spans="1:7" x14ac:dyDescent="0.2">
      <c r="A267" s="39">
        <v>2264</v>
      </c>
      <c r="B267" s="38" t="s">
        <v>1350</v>
      </c>
      <c r="C267" s="39" t="s">
        <v>1239</v>
      </c>
      <c r="D267" s="74" t="s">
        <v>1227</v>
      </c>
      <c r="E267" s="74" t="s">
        <v>1224</v>
      </c>
      <c r="F267" s="74" t="s">
        <v>1226</v>
      </c>
      <c r="G267" s="74" t="s">
        <v>1225</v>
      </c>
    </row>
    <row r="268" spans="1:7" x14ac:dyDescent="0.2">
      <c r="A268" s="39">
        <v>2265</v>
      </c>
      <c r="B268" s="38" t="s">
        <v>1351</v>
      </c>
      <c r="C268" s="39" t="s">
        <v>1239</v>
      </c>
      <c r="D268" s="74" t="s">
        <v>1227</v>
      </c>
      <c r="E268" s="74" t="s">
        <v>1224</v>
      </c>
      <c r="F268" s="74" t="s">
        <v>1226</v>
      </c>
      <c r="G268" s="74" t="s">
        <v>1225</v>
      </c>
    </row>
    <row r="269" spans="1:7" x14ac:dyDescent="0.2">
      <c r="A269" s="39">
        <v>2272</v>
      </c>
      <c r="B269" s="38" t="s">
        <v>1352</v>
      </c>
      <c r="C269" s="39" t="s">
        <v>1239</v>
      </c>
      <c r="D269" s="74" t="s">
        <v>1227</v>
      </c>
      <c r="E269" s="74" t="s">
        <v>1224</v>
      </c>
      <c r="F269" s="74" t="s">
        <v>1226</v>
      </c>
      <c r="G269" s="74" t="s">
        <v>1225</v>
      </c>
    </row>
    <row r="270" spans="1:7" x14ac:dyDescent="0.2">
      <c r="A270" s="39">
        <v>2273</v>
      </c>
      <c r="B270" s="38" t="s">
        <v>1353</v>
      </c>
      <c r="C270" s="39" t="s">
        <v>1239</v>
      </c>
      <c r="D270" s="74" t="s">
        <v>1227</v>
      </c>
      <c r="E270" s="74" t="s">
        <v>1224</v>
      </c>
      <c r="F270" s="74" t="s">
        <v>1226</v>
      </c>
      <c r="G270" s="74" t="s">
        <v>1226</v>
      </c>
    </row>
    <row r="271" spans="1:7" x14ac:dyDescent="0.2">
      <c r="A271" s="39">
        <v>2274</v>
      </c>
      <c r="B271" s="38" t="s">
        <v>1354</v>
      </c>
      <c r="C271" s="39" t="s">
        <v>1239</v>
      </c>
      <c r="D271" s="74" t="s">
        <v>1227</v>
      </c>
      <c r="E271" s="74" t="s">
        <v>1224</v>
      </c>
      <c r="F271" s="74" t="s">
        <v>1226</v>
      </c>
      <c r="G271" s="74" t="s">
        <v>1226</v>
      </c>
    </row>
    <row r="272" spans="1:7" x14ac:dyDescent="0.2">
      <c r="A272" s="39">
        <v>2275</v>
      </c>
      <c r="B272" s="38" t="s">
        <v>1355</v>
      </c>
      <c r="C272" s="39" t="s">
        <v>1239</v>
      </c>
      <c r="D272" s="74" t="s">
        <v>1227</v>
      </c>
      <c r="E272" s="74" t="s">
        <v>1224</v>
      </c>
      <c r="F272" s="74" t="s">
        <v>1226</v>
      </c>
      <c r="G272" s="74" t="s">
        <v>1225</v>
      </c>
    </row>
    <row r="273" spans="1:7" x14ac:dyDescent="0.2">
      <c r="A273" s="39">
        <v>2276</v>
      </c>
      <c r="B273" s="38" t="s">
        <v>1356</v>
      </c>
      <c r="C273" s="39" t="s">
        <v>1239</v>
      </c>
      <c r="D273" s="74" t="s">
        <v>1227</v>
      </c>
      <c r="E273" s="74" t="s">
        <v>1224</v>
      </c>
      <c r="F273" s="74" t="s">
        <v>1226</v>
      </c>
      <c r="G273" s="74" t="s">
        <v>1225</v>
      </c>
    </row>
    <row r="274" spans="1:7" x14ac:dyDescent="0.2">
      <c r="A274" s="39">
        <v>2281</v>
      </c>
      <c r="B274" s="38" t="s">
        <v>1357</v>
      </c>
      <c r="C274" s="39" t="s">
        <v>1239</v>
      </c>
      <c r="D274" s="74" t="s">
        <v>1227</v>
      </c>
      <c r="E274" s="74" t="s">
        <v>1224</v>
      </c>
      <c r="F274" s="74" t="s">
        <v>1226</v>
      </c>
      <c r="G274" s="74" t="s">
        <v>1225</v>
      </c>
    </row>
    <row r="275" spans="1:7" x14ac:dyDescent="0.2">
      <c r="A275" s="39">
        <v>2282</v>
      </c>
      <c r="B275" s="38" t="s">
        <v>1358</v>
      </c>
      <c r="C275" s="39" t="s">
        <v>1239</v>
      </c>
      <c r="D275" s="74" t="s">
        <v>1227</v>
      </c>
      <c r="E275" s="74" t="s">
        <v>1224</v>
      </c>
      <c r="F275" s="74" t="s">
        <v>1226</v>
      </c>
      <c r="G275" s="74" t="s">
        <v>1225</v>
      </c>
    </row>
    <row r="276" spans="1:7" x14ac:dyDescent="0.2">
      <c r="A276" s="39">
        <v>2283</v>
      </c>
      <c r="B276" s="38" t="s">
        <v>1359</v>
      </c>
      <c r="C276" s="39" t="s">
        <v>1239</v>
      </c>
      <c r="D276" s="74" t="s">
        <v>1227</v>
      </c>
      <c r="E276" s="74" t="s">
        <v>1224</v>
      </c>
      <c r="F276" s="74" t="s">
        <v>1226</v>
      </c>
      <c r="G276" s="74" t="s">
        <v>1226</v>
      </c>
    </row>
    <row r="277" spans="1:7" x14ac:dyDescent="0.2">
      <c r="A277" s="39">
        <v>2284</v>
      </c>
      <c r="B277" s="38" t="s">
        <v>1360</v>
      </c>
      <c r="C277" s="39" t="s">
        <v>1239</v>
      </c>
      <c r="D277" s="74" t="s">
        <v>1227</v>
      </c>
      <c r="E277" s="74" t="s">
        <v>1224</v>
      </c>
      <c r="F277" s="74" t="s">
        <v>1226</v>
      </c>
      <c r="G277" s="74" t="s">
        <v>1225</v>
      </c>
    </row>
    <row r="278" spans="1:7" x14ac:dyDescent="0.2">
      <c r="A278" s="39">
        <v>2285</v>
      </c>
      <c r="B278" s="38" t="s">
        <v>1363</v>
      </c>
      <c r="C278" s="39" t="s">
        <v>1239</v>
      </c>
      <c r="D278" s="74" t="s">
        <v>1227</v>
      </c>
      <c r="E278" s="74" t="s">
        <v>1224</v>
      </c>
      <c r="F278" s="74" t="s">
        <v>1226</v>
      </c>
      <c r="G278" s="74" t="s">
        <v>1225</v>
      </c>
    </row>
    <row r="279" spans="1:7" x14ac:dyDescent="0.2">
      <c r="A279" s="39">
        <v>2286</v>
      </c>
      <c r="B279" s="38" t="s">
        <v>1364</v>
      </c>
      <c r="C279" s="39" t="s">
        <v>1239</v>
      </c>
      <c r="D279" s="74" t="s">
        <v>1227</v>
      </c>
      <c r="E279" s="74" t="s">
        <v>1224</v>
      </c>
      <c r="F279" s="74" t="s">
        <v>1226</v>
      </c>
      <c r="G279" s="74" t="s">
        <v>1225</v>
      </c>
    </row>
    <row r="280" spans="1:7" x14ac:dyDescent="0.2">
      <c r="A280" s="39">
        <v>2291</v>
      </c>
      <c r="B280" s="38" t="s">
        <v>1365</v>
      </c>
      <c r="C280" s="39" t="s">
        <v>1239</v>
      </c>
      <c r="D280" s="74" t="s">
        <v>1227</v>
      </c>
      <c r="E280" s="74" t="s">
        <v>1224</v>
      </c>
      <c r="F280" s="74" t="s">
        <v>1226</v>
      </c>
      <c r="G280" s="74" t="s">
        <v>1226</v>
      </c>
    </row>
    <row r="281" spans="1:7" x14ac:dyDescent="0.2">
      <c r="A281" s="39">
        <v>2292</v>
      </c>
      <c r="B281" s="38" t="s">
        <v>1366</v>
      </c>
      <c r="C281" s="39" t="s">
        <v>1239</v>
      </c>
      <c r="D281" s="74" t="s">
        <v>1227</v>
      </c>
      <c r="E281" s="74" t="s">
        <v>1224</v>
      </c>
      <c r="F281" s="74" t="s">
        <v>1226</v>
      </c>
      <c r="G281" s="74" t="s">
        <v>1225</v>
      </c>
    </row>
    <row r="282" spans="1:7" x14ac:dyDescent="0.2">
      <c r="A282" s="39">
        <v>2293</v>
      </c>
      <c r="B282" s="38" t="s">
        <v>1367</v>
      </c>
      <c r="C282" s="39" t="s">
        <v>1239</v>
      </c>
      <c r="D282" s="74" t="s">
        <v>1227</v>
      </c>
      <c r="E282" s="74" t="s">
        <v>1224</v>
      </c>
      <c r="F282" s="74" t="s">
        <v>1226</v>
      </c>
      <c r="G282" s="74" t="s">
        <v>1225</v>
      </c>
    </row>
    <row r="283" spans="1:7" x14ac:dyDescent="0.2">
      <c r="A283" s="39">
        <v>2294</v>
      </c>
      <c r="B283" s="38" t="s">
        <v>1368</v>
      </c>
      <c r="C283" s="39" t="s">
        <v>1239</v>
      </c>
      <c r="D283" s="74" t="s">
        <v>1227</v>
      </c>
      <c r="E283" s="74" t="s">
        <v>1224</v>
      </c>
      <c r="F283" s="74" t="s">
        <v>1226</v>
      </c>
      <c r="G283" s="74" t="s">
        <v>1226</v>
      </c>
    </row>
    <row r="284" spans="1:7" x14ac:dyDescent="0.2">
      <c r="A284" s="39">
        <v>2295</v>
      </c>
      <c r="B284" s="38" t="s">
        <v>1369</v>
      </c>
      <c r="C284" s="39" t="s">
        <v>1239</v>
      </c>
      <c r="D284" s="74" t="s">
        <v>1227</v>
      </c>
      <c r="E284" s="74" t="s">
        <v>1224</v>
      </c>
      <c r="F284" s="74" t="s">
        <v>1226</v>
      </c>
      <c r="G284" s="74" t="s">
        <v>1225</v>
      </c>
    </row>
    <row r="285" spans="1:7" x14ac:dyDescent="0.2">
      <c r="A285" s="39">
        <v>2301</v>
      </c>
      <c r="B285" s="38" t="s">
        <v>1370</v>
      </c>
      <c r="C285" s="39" t="s">
        <v>1239</v>
      </c>
      <c r="D285" s="74" t="s">
        <v>1227</v>
      </c>
      <c r="E285" s="74" t="s">
        <v>1224</v>
      </c>
      <c r="F285" s="74" t="s">
        <v>1226</v>
      </c>
      <c r="G285" s="74" t="s">
        <v>1226</v>
      </c>
    </row>
    <row r="286" spans="1:7" x14ac:dyDescent="0.2">
      <c r="A286" s="39">
        <v>2304</v>
      </c>
      <c r="B286" s="38" t="s">
        <v>1371</v>
      </c>
      <c r="C286" s="39" t="s">
        <v>1239</v>
      </c>
      <c r="D286" s="74" t="s">
        <v>1227</v>
      </c>
      <c r="E286" s="74" t="s">
        <v>1224</v>
      </c>
      <c r="F286" s="74" t="s">
        <v>1226</v>
      </c>
      <c r="G286" s="74" t="s">
        <v>1226</v>
      </c>
    </row>
    <row r="287" spans="1:7" x14ac:dyDescent="0.2">
      <c r="A287" s="39">
        <v>2305</v>
      </c>
      <c r="B287" s="38" t="s">
        <v>1372</v>
      </c>
      <c r="C287" s="39" t="s">
        <v>1239</v>
      </c>
      <c r="D287" s="74" t="s">
        <v>1227</v>
      </c>
      <c r="E287" s="74" t="s">
        <v>1224</v>
      </c>
      <c r="F287" s="74" t="s">
        <v>1226</v>
      </c>
      <c r="G287" s="74" t="s">
        <v>1225</v>
      </c>
    </row>
    <row r="288" spans="1:7" x14ac:dyDescent="0.2">
      <c r="A288" s="39">
        <v>2320</v>
      </c>
      <c r="B288" s="38" t="s">
        <v>1373</v>
      </c>
      <c r="C288" s="39" t="s">
        <v>1239</v>
      </c>
      <c r="D288" s="74" t="s">
        <v>1227</v>
      </c>
      <c r="E288" s="74" t="s">
        <v>1224</v>
      </c>
      <c r="F288" s="74" t="s">
        <v>1226</v>
      </c>
      <c r="G288" s="74" t="s">
        <v>1226</v>
      </c>
    </row>
    <row r="289" spans="1:7" x14ac:dyDescent="0.2">
      <c r="A289" s="39">
        <v>2322</v>
      </c>
      <c r="B289" s="38" t="s">
        <v>1374</v>
      </c>
      <c r="C289" s="39" t="s">
        <v>1239</v>
      </c>
      <c r="D289" s="74" t="s">
        <v>1227</v>
      </c>
      <c r="E289" s="74" t="s">
        <v>1224</v>
      </c>
      <c r="F289" s="74" t="s">
        <v>1226</v>
      </c>
      <c r="G289" s="74" t="s">
        <v>1225</v>
      </c>
    </row>
    <row r="290" spans="1:7" x14ac:dyDescent="0.2">
      <c r="A290" s="39">
        <v>2323</v>
      </c>
      <c r="B290" s="38" t="s">
        <v>1375</v>
      </c>
      <c r="C290" s="39" t="s">
        <v>1239</v>
      </c>
      <c r="D290" s="74" t="s">
        <v>1229</v>
      </c>
      <c r="E290" s="74" t="s">
        <v>1224</v>
      </c>
      <c r="F290" s="74" t="s">
        <v>1225</v>
      </c>
      <c r="G290" s="74" t="s">
        <v>1226</v>
      </c>
    </row>
    <row r="291" spans="1:7" x14ac:dyDescent="0.2">
      <c r="A291" s="39">
        <v>2324</v>
      </c>
      <c r="B291" s="38" t="s">
        <v>1376</v>
      </c>
      <c r="C291" s="39" t="s">
        <v>1239</v>
      </c>
      <c r="D291" s="74" t="s">
        <v>1229</v>
      </c>
      <c r="E291" s="74" t="s">
        <v>1224</v>
      </c>
      <c r="F291" s="74" t="s">
        <v>1225</v>
      </c>
      <c r="G291" s="74" t="s">
        <v>1226</v>
      </c>
    </row>
    <row r="292" spans="1:7" x14ac:dyDescent="0.2">
      <c r="A292" s="39">
        <v>2325</v>
      </c>
      <c r="B292" s="38" t="s">
        <v>1377</v>
      </c>
      <c r="C292" s="39" t="s">
        <v>1239</v>
      </c>
      <c r="D292" s="74" t="s">
        <v>1227</v>
      </c>
      <c r="E292" s="74" t="s">
        <v>1224</v>
      </c>
      <c r="F292" s="74" t="s">
        <v>1226</v>
      </c>
      <c r="G292" s="74" t="s">
        <v>1226</v>
      </c>
    </row>
    <row r="293" spans="1:7" x14ac:dyDescent="0.2">
      <c r="A293" s="39">
        <v>2326</v>
      </c>
      <c r="B293" s="38" t="s">
        <v>1378</v>
      </c>
      <c r="C293" s="39" t="s">
        <v>1239</v>
      </c>
      <c r="D293" s="74" t="s">
        <v>1227</v>
      </c>
      <c r="E293" s="74" t="s">
        <v>1224</v>
      </c>
      <c r="F293" s="74" t="s">
        <v>1226</v>
      </c>
      <c r="G293" s="74" t="s">
        <v>1226</v>
      </c>
    </row>
    <row r="294" spans="1:7" x14ac:dyDescent="0.2">
      <c r="A294" s="39">
        <v>2331</v>
      </c>
      <c r="B294" s="38" t="s">
        <v>1379</v>
      </c>
      <c r="C294" s="39" t="s">
        <v>1239</v>
      </c>
      <c r="D294" s="74" t="s">
        <v>1227</v>
      </c>
      <c r="E294" s="74" t="s">
        <v>1224</v>
      </c>
      <c r="F294" s="74" t="s">
        <v>1226</v>
      </c>
      <c r="G294" s="74" t="s">
        <v>1226</v>
      </c>
    </row>
    <row r="295" spans="1:7" x14ac:dyDescent="0.2">
      <c r="A295" s="39">
        <v>2332</v>
      </c>
      <c r="B295" s="38" t="s">
        <v>1380</v>
      </c>
      <c r="C295" s="39" t="s">
        <v>1239</v>
      </c>
      <c r="D295" s="74" t="s">
        <v>1227</v>
      </c>
      <c r="E295" s="74" t="s">
        <v>1224</v>
      </c>
      <c r="F295" s="74" t="s">
        <v>1226</v>
      </c>
      <c r="G295" s="74" t="s">
        <v>1226</v>
      </c>
    </row>
    <row r="296" spans="1:7" x14ac:dyDescent="0.2">
      <c r="A296" s="39">
        <v>2333</v>
      </c>
      <c r="B296" s="38" t="s">
        <v>1381</v>
      </c>
      <c r="C296" s="39" t="s">
        <v>1239</v>
      </c>
      <c r="D296" s="74" t="s">
        <v>1227</v>
      </c>
      <c r="E296" s="74" t="s">
        <v>1224</v>
      </c>
      <c r="F296" s="74" t="s">
        <v>1226</v>
      </c>
      <c r="G296" s="74" t="s">
        <v>1226</v>
      </c>
    </row>
    <row r="297" spans="1:7" x14ac:dyDescent="0.2">
      <c r="A297" s="39">
        <v>2334</v>
      </c>
      <c r="B297" s="38" t="s">
        <v>1379</v>
      </c>
      <c r="C297" s="39" t="s">
        <v>1239</v>
      </c>
      <c r="D297" s="74" t="s">
        <v>1227</v>
      </c>
      <c r="E297" s="74" t="s">
        <v>1224</v>
      </c>
      <c r="F297" s="74" t="s">
        <v>1226</v>
      </c>
      <c r="G297" s="74" t="s">
        <v>1226</v>
      </c>
    </row>
    <row r="298" spans="1:7" x14ac:dyDescent="0.2">
      <c r="A298" s="39">
        <v>2340</v>
      </c>
      <c r="B298" s="38" t="s">
        <v>1382</v>
      </c>
      <c r="C298" s="39" t="s">
        <v>1239</v>
      </c>
      <c r="D298" s="74" t="s">
        <v>1227</v>
      </c>
      <c r="E298" s="74" t="s">
        <v>1224</v>
      </c>
      <c r="F298" s="74" t="s">
        <v>1226</v>
      </c>
      <c r="G298" s="74" t="s">
        <v>1226</v>
      </c>
    </row>
    <row r="299" spans="1:7" x14ac:dyDescent="0.2">
      <c r="A299" s="39">
        <v>2342</v>
      </c>
      <c r="B299" s="38" t="s">
        <v>1382</v>
      </c>
      <c r="C299" s="39" t="s">
        <v>1239</v>
      </c>
      <c r="D299" s="74" t="s">
        <v>1229</v>
      </c>
      <c r="E299" s="74" t="s">
        <v>1224</v>
      </c>
      <c r="F299" s="74" t="s">
        <v>1225</v>
      </c>
      <c r="G299" s="74" t="s">
        <v>1226</v>
      </c>
    </row>
    <row r="300" spans="1:7" x14ac:dyDescent="0.2">
      <c r="A300" s="39">
        <v>2344</v>
      </c>
      <c r="B300" s="38" t="s">
        <v>1383</v>
      </c>
      <c r="C300" s="39" t="s">
        <v>1239</v>
      </c>
      <c r="D300" s="74" t="s">
        <v>1227</v>
      </c>
      <c r="E300" s="74" t="s">
        <v>1224</v>
      </c>
      <c r="F300" s="74" t="s">
        <v>1226</v>
      </c>
      <c r="G300" s="74" t="s">
        <v>1226</v>
      </c>
    </row>
    <row r="301" spans="1:7" x14ac:dyDescent="0.2">
      <c r="A301" s="39">
        <v>2345</v>
      </c>
      <c r="B301" s="38" t="s">
        <v>1384</v>
      </c>
      <c r="C301" s="39" t="s">
        <v>1239</v>
      </c>
      <c r="D301" s="74" t="s">
        <v>1227</v>
      </c>
      <c r="E301" s="74" t="s">
        <v>1224</v>
      </c>
      <c r="F301" s="74" t="s">
        <v>1226</v>
      </c>
      <c r="G301" s="74" t="s">
        <v>1226</v>
      </c>
    </row>
    <row r="302" spans="1:7" x14ac:dyDescent="0.2">
      <c r="A302" s="39">
        <v>2346</v>
      </c>
      <c r="B302" s="38" t="s">
        <v>1726</v>
      </c>
      <c r="C302" s="39" t="s">
        <v>1239</v>
      </c>
      <c r="D302" s="74" t="s">
        <v>1229</v>
      </c>
      <c r="E302" s="74" t="s">
        <v>1224</v>
      </c>
      <c r="F302" s="74" t="s">
        <v>1225</v>
      </c>
      <c r="G302" s="74" t="s">
        <v>1226</v>
      </c>
    </row>
    <row r="303" spans="1:7" x14ac:dyDescent="0.2">
      <c r="A303" s="39">
        <v>2351</v>
      </c>
      <c r="B303" s="38" t="s">
        <v>1727</v>
      </c>
      <c r="C303" s="39" t="s">
        <v>1239</v>
      </c>
      <c r="D303" s="74" t="s">
        <v>1227</v>
      </c>
      <c r="E303" s="74" t="s">
        <v>1224</v>
      </c>
      <c r="F303" s="74" t="s">
        <v>1226</v>
      </c>
      <c r="G303" s="74" t="s">
        <v>1226</v>
      </c>
    </row>
    <row r="304" spans="1:7" x14ac:dyDescent="0.2">
      <c r="A304" s="39">
        <v>2352</v>
      </c>
      <c r="B304" s="38" t="s">
        <v>165</v>
      </c>
      <c r="C304" s="39" t="s">
        <v>1239</v>
      </c>
      <c r="D304" s="74" t="s">
        <v>1227</v>
      </c>
      <c r="E304" s="74" t="s">
        <v>1224</v>
      </c>
      <c r="F304" s="74" t="s">
        <v>1226</v>
      </c>
      <c r="G304" s="74" t="s">
        <v>1226</v>
      </c>
    </row>
    <row r="305" spans="1:7" x14ac:dyDescent="0.2">
      <c r="A305" s="39">
        <v>2353</v>
      </c>
      <c r="B305" s="38" t="s">
        <v>1728</v>
      </c>
      <c r="C305" s="39" t="s">
        <v>1239</v>
      </c>
      <c r="D305" s="74" t="s">
        <v>1227</v>
      </c>
      <c r="E305" s="74" t="s">
        <v>1224</v>
      </c>
      <c r="F305" s="74" t="s">
        <v>1226</v>
      </c>
      <c r="G305" s="74" t="s">
        <v>1226</v>
      </c>
    </row>
    <row r="306" spans="1:7" x14ac:dyDescent="0.2">
      <c r="A306" s="39">
        <v>2355</v>
      </c>
      <c r="B306" s="38" t="s">
        <v>1727</v>
      </c>
      <c r="C306" s="39" t="s">
        <v>1239</v>
      </c>
      <c r="D306" s="74" t="s">
        <v>1229</v>
      </c>
      <c r="E306" s="74" t="s">
        <v>1224</v>
      </c>
      <c r="F306" s="74" t="s">
        <v>1225</v>
      </c>
      <c r="G306" s="74" t="s">
        <v>1226</v>
      </c>
    </row>
    <row r="307" spans="1:7" x14ac:dyDescent="0.2">
      <c r="A307" s="39">
        <v>2361</v>
      </c>
      <c r="B307" s="38" t="s">
        <v>1729</v>
      </c>
      <c r="C307" s="39" t="s">
        <v>1239</v>
      </c>
      <c r="D307" s="74" t="s">
        <v>1227</v>
      </c>
      <c r="E307" s="74" t="s">
        <v>1224</v>
      </c>
      <c r="F307" s="74" t="s">
        <v>1226</v>
      </c>
      <c r="G307" s="74" t="s">
        <v>1226</v>
      </c>
    </row>
    <row r="308" spans="1:7" x14ac:dyDescent="0.2">
      <c r="A308" s="39">
        <v>2362</v>
      </c>
      <c r="B308" s="38" t="s">
        <v>1730</v>
      </c>
      <c r="C308" s="39" t="s">
        <v>1239</v>
      </c>
      <c r="D308" s="74" t="s">
        <v>1227</v>
      </c>
      <c r="E308" s="74" t="s">
        <v>1224</v>
      </c>
      <c r="F308" s="74" t="s">
        <v>1226</v>
      </c>
      <c r="G308" s="74" t="s">
        <v>1226</v>
      </c>
    </row>
    <row r="309" spans="1:7" x14ac:dyDescent="0.2">
      <c r="A309" s="39">
        <v>2371</v>
      </c>
      <c r="B309" s="38" t="s">
        <v>1731</v>
      </c>
      <c r="C309" s="39" t="s">
        <v>1239</v>
      </c>
      <c r="D309" s="74" t="s">
        <v>1227</v>
      </c>
      <c r="E309" s="74" t="s">
        <v>1224</v>
      </c>
      <c r="F309" s="74" t="s">
        <v>1226</v>
      </c>
      <c r="G309" s="74" t="s">
        <v>1226</v>
      </c>
    </row>
    <row r="310" spans="1:7" x14ac:dyDescent="0.2">
      <c r="A310" s="39">
        <v>2372</v>
      </c>
      <c r="B310" s="38" t="s">
        <v>1732</v>
      </c>
      <c r="C310" s="39" t="s">
        <v>1239</v>
      </c>
      <c r="D310" s="74" t="s">
        <v>1227</v>
      </c>
      <c r="E310" s="74" t="s">
        <v>1224</v>
      </c>
      <c r="F310" s="74" t="s">
        <v>1226</v>
      </c>
      <c r="G310" s="74" t="s">
        <v>1225</v>
      </c>
    </row>
    <row r="311" spans="1:7" x14ac:dyDescent="0.2">
      <c r="A311" s="39">
        <v>2380</v>
      </c>
      <c r="B311" s="38" t="s">
        <v>1733</v>
      </c>
      <c r="C311" s="39" t="s">
        <v>1239</v>
      </c>
      <c r="D311" s="74" t="s">
        <v>1227</v>
      </c>
      <c r="E311" s="74" t="s">
        <v>1224</v>
      </c>
      <c r="F311" s="74" t="s">
        <v>1226</v>
      </c>
      <c r="G311" s="74" t="s">
        <v>1226</v>
      </c>
    </row>
    <row r="312" spans="1:7" x14ac:dyDescent="0.2">
      <c r="A312" s="39">
        <v>2381</v>
      </c>
      <c r="B312" s="38" t="s">
        <v>1734</v>
      </c>
      <c r="C312" s="39" t="s">
        <v>1239</v>
      </c>
      <c r="D312" s="74" t="s">
        <v>1227</v>
      </c>
      <c r="E312" s="74" t="s">
        <v>1224</v>
      </c>
      <c r="F312" s="74" t="s">
        <v>1226</v>
      </c>
      <c r="G312" s="74" t="s">
        <v>1225</v>
      </c>
    </row>
    <row r="313" spans="1:7" x14ac:dyDescent="0.2">
      <c r="A313" s="39">
        <v>2384</v>
      </c>
      <c r="B313" s="38" t="s">
        <v>1735</v>
      </c>
      <c r="C313" s="39" t="s">
        <v>1239</v>
      </c>
      <c r="D313" s="74" t="s">
        <v>1227</v>
      </c>
      <c r="E313" s="74" t="s">
        <v>1224</v>
      </c>
      <c r="F313" s="74" t="s">
        <v>1226</v>
      </c>
      <c r="G313" s="74" t="s">
        <v>1226</v>
      </c>
    </row>
    <row r="314" spans="1:7" x14ac:dyDescent="0.2">
      <c r="A314" s="39">
        <v>2391</v>
      </c>
      <c r="B314" s="38" t="s">
        <v>1736</v>
      </c>
      <c r="C314" s="39" t="s">
        <v>1239</v>
      </c>
      <c r="D314" s="74" t="s">
        <v>1227</v>
      </c>
      <c r="E314" s="74" t="s">
        <v>1224</v>
      </c>
      <c r="F314" s="74" t="s">
        <v>1226</v>
      </c>
      <c r="G314" s="74" t="s">
        <v>1226</v>
      </c>
    </row>
    <row r="315" spans="1:7" x14ac:dyDescent="0.2">
      <c r="A315" s="39">
        <v>2392</v>
      </c>
      <c r="B315" s="38" t="s">
        <v>1737</v>
      </c>
      <c r="C315" s="39" t="s">
        <v>1239</v>
      </c>
      <c r="D315" s="74" t="s">
        <v>1227</v>
      </c>
      <c r="E315" s="74" t="s">
        <v>1224</v>
      </c>
      <c r="F315" s="74" t="s">
        <v>1226</v>
      </c>
      <c r="G315" s="74" t="s">
        <v>1226</v>
      </c>
    </row>
    <row r="316" spans="1:7" x14ac:dyDescent="0.2">
      <c r="A316" s="39">
        <v>2393</v>
      </c>
      <c r="B316" s="38" t="s">
        <v>1738</v>
      </c>
      <c r="C316" s="39" t="s">
        <v>1239</v>
      </c>
      <c r="D316" s="74" t="s">
        <v>1227</v>
      </c>
      <c r="E316" s="74" t="s">
        <v>1224</v>
      </c>
      <c r="F316" s="74" t="s">
        <v>1226</v>
      </c>
      <c r="G316" s="74" t="s">
        <v>1225</v>
      </c>
    </row>
    <row r="317" spans="1:7" x14ac:dyDescent="0.2">
      <c r="A317" s="39">
        <v>2401</v>
      </c>
      <c r="B317" s="38" t="s">
        <v>1739</v>
      </c>
      <c r="C317" s="39" t="s">
        <v>1239</v>
      </c>
      <c r="D317" s="74" t="s">
        <v>1227</v>
      </c>
      <c r="E317" s="74" t="s">
        <v>1224</v>
      </c>
      <c r="F317" s="74" t="s">
        <v>1226</v>
      </c>
      <c r="G317" s="74" t="s">
        <v>1226</v>
      </c>
    </row>
    <row r="318" spans="1:7" x14ac:dyDescent="0.2">
      <c r="A318" s="39">
        <v>2402</v>
      </c>
      <c r="B318" s="38" t="s">
        <v>1740</v>
      </c>
      <c r="C318" s="39" t="s">
        <v>1239</v>
      </c>
      <c r="D318" s="74" t="s">
        <v>1227</v>
      </c>
      <c r="E318" s="74" t="s">
        <v>1224</v>
      </c>
      <c r="F318" s="74" t="s">
        <v>1226</v>
      </c>
      <c r="G318" s="74" t="s">
        <v>1226</v>
      </c>
    </row>
    <row r="319" spans="1:7" x14ac:dyDescent="0.2">
      <c r="A319" s="39">
        <v>2403</v>
      </c>
      <c r="B319" s="38" t="s">
        <v>1741</v>
      </c>
      <c r="C319" s="39" t="s">
        <v>1239</v>
      </c>
      <c r="D319" s="74" t="s">
        <v>1227</v>
      </c>
      <c r="E319" s="74" t="s">
        <v>1224</v>
      </c>
      <c r="F319" s="74" t="s">
        <v>1226</v>
      </c>
      <c r="G319" s="74" t="s">
        <v>1225</v>
      </c>
    </row>
    <row r="320" spans="1:7" x14ac:dyDescent="0.2">
      <c r="A320" s="39">
        <v>2404</v>
      </c>
      <c r="B320" s="38" t="s">
        <v>1742</v>
      </c>
      <c r="C320" s="39" t="s">
        <v>1239</v>
      </c>
      <c r="D320" s="74" t="s">
        <v>1227</v>
      </c>
      <c r="E320" s="74" t="s">
        <v>1224</v>
      </c>
      <c r="F320" s="74" t="s">
        <v>1226</v>
      </c>
      <c r="G320" s="74" t="s">
        <v>1225</v>
      </c>
    </row>
    <row r="321" spans="1:7" x14ac:dyDescent="0.2">
      <c r="A321" s="39">
        <v>2405</v>
      </c>
      <c r="B321" s="38" t="s">
        <v>1743</v>
      </c>
      <c r="C321" s="39" t="s">
        <v>1239</v>
      </c>
      <c r="D321" s="74" t="s">
        <v>1227</v>
      </c>
      <c r="E321" s="74" t="s">
        <v>1224</v>
      </c>
      <c r="F321" s="74" t="s">
        <v>1226</v>
      </c>
      <c r="G321" s="74" t="s">
        <v>1226</v>
      </c>
    </row>
    <row r="322" spans="1:7" x14ac:dyDescent="0.2">
      <c r="A322" s="39">
        <v>2410</v>
      </c>
      <c r="B322" s="38" t="s">
        <v>1744</v>
      </c>
      <c r="C322" s="39" t="s">
        <v>1239</v>
      </c>
      <c r="D322" s="74" t="s">
        <v>1227</v>
      </c>
      <c r="E322" s="74" t="s">
        <v>1224</v>
      </c>
      <c r="F322" s="74" t="s">
        <v>1226</v>
      </c>
      <c r="G322" s="74" t="s">
        <v>1226</v>
      </c>
    </row>
    <row r="323" spans="1:7" x14ac:dyDescent="0.2">
      <c r="A323" s="39">
        <v>2412</v>
      </c>
      <c r="B323" s="38" t="s">
        <v>1745</v>
      </c>
      <c r="C323" s="39" t="s">
        <v>1239</v>
      </c>
      <c r="D323" s="74" t="s">
        <v>1227</v>
      </c>
      <c r="E323" s="74" t="s">
        <v>1224</v>
      </c>
      <c r="F323" s="74" t="s">
        <v>1226</v>
      </c>
      <c r="G323" s="74" t="s">
        <v>1225</v>
      </c>
    </row>
    <row r="324" spans="1:7" x14ac:dyDescent="0.2">
      <c r="A324" s="39">
        <v>2413</v>
      </c>
      <c r="B324" s="38" t="s">
        <v>1746</v>
      </c>
      <c r="C324" s="39" t="s">
        <v>1239</v>
      </c>
      <c r="D324" s="74" t="s">
        <v>1227</v>
      </c>
      <c r="E324" s="74" t="s">
        <v>1224</v>
      </c>
      <c r="F324" s="74" t="s">
        <v>1226</v>
      </c>
      <c r="G324" s="74" t="s">
        <v>1225</v>
      </c>
    </row>
    <row r="325" spans="1:7" x14ac:dyDescent="0.2">
      <c r="A325" s="39">
        <v>2421</v>
      </c>
      <c r="B325" s="38" t="s">
        <v>1747</v>
      </c>
      <c r="C325" s="39" t="s">
        <v>1748</v>
      </c>
      <c r="D325" s="74" t="s">
        <v>1227</v>
      </c>
      <c r="E325" s="74" t="s">
        <v>1224</v>
      </c>
      <c r="F325" s="74" t="s">
        <v>1226</v>
      </c>
      <c r="G325" s="74" t="s">
        <v>1226</v>
      </c>
    </row>
    <row r="326" spans="1:7" x14ac:dyDescent="0.2">
      <c r="A326" s="39">
        <v>2422</v>
      </c>
      <c r="B326" s="38" t="s">
        <v>1749</v>
      </c>
      <c r="C326" s="39" t="s">
        <v>1748</v>
      </c>
      <c r="D326" s="74" t="s">
        <v>1227</v>
      </c>
      <c r="E326" s="74" t="s">
        <v>1224</v>
      </c>
      <c r="F326" s="74" t="s">
        <v>1226</v>
      </c>
      <c r="G326" s="74" t="s">
        <v>1225</v>
      </c>
    </row>
    <row r="327" spans="1:7" x14ac:dyDescent="0.2">
      <c r="A327" s="39">
        <v>2423</v>
      </c>
      <c r="B327" s="38" t="s">
        <v>1750</v>
      </c>
      <c r="C327" s="39" t="s">
        <v>1748</v>
      </c>
      <c r="D327" s="74" t="s">
        <v>1227</v>
      </c>
      <c r="E327" s="74" t="s">
        <v>1224</v>
      </c>
      <c r="F327" s="74" t="s">
        <v>1226</v>
      </c>
      <c r="G327" s="74" t="s">
        <v>1225</v>
      </c>
    </row>
    <row r="328" spans="1:7" x14ac:dyDescent="0.2">
      <c r="A328" s="39">
        <v>2424</v>
      </c>
      <c r="B328" s="38" t="s">
        <v>1751</v>
      </c>
      <c r="C328" s="39" t="s">
        <v>1748</v>
      </c>
      <c r="D328" s="74" t="s">
        <v>1227</v>
      </c>
      <c r="E328" s="74" t="s">
        <v>1224</v>
      </c>
      <c r="F328" s="74" t="s">
        <v>1226</v>
      </c>
      <c r="G328" s="74" t="s">
        <v>1226</v>
      </c>
    </row>
    <row r="329" spans="1:7" x14ac:dyDescent="0.2">
      <c r="A329" s="39">
        <v>2425</v>
      </c>
      <c r="B329" s="38" t="s">
        <v>1752</v>
      </c>
      <c r="C329" s="39" t="s">
        <v>1748</v>
      </c>
      <c r="D329" s="74" t="s">
        <v>1227</v>
      </c>
      <c r="E329" s="74" t="s">
        <v>1224</v>
      </c>
      <c r="F329" s="74" t="s">
        <v>1226</v>
      </c>
      <c r="G329" s="74" t="s">
        <v>1226</v>
      </c>
    </row>
    <row r="330" spans="1:7" x14ac:dyDescent="0.2">
      <c r="A330" s="39">
        <v>2431</v>
      </c>
      <c r="B330" s="38" t="s">
        <v>1753</v>
      </c>
      <c r="C330" s="39" t="s">
        <v>1239</v>
      </c>
      <c r="D330" s="74" t="s">
        <v>1227</v>
      </c>
      <c r="E330" s="74" t="s">
        <v>1224</v>
      </c>
      <c r="F330" s="74" t="s">
        <v>1226</v>
      </c>
      <c r="G330" s="74" t="s">
        <v>1225</v>
      </c>
    </row>
    <row r="331" spans="1:7" x14ac:dyDescent="0.2">
      <c r="A331" s="39">
        <v>2432</v>
      </c>
      <c r="B331" s="38" t="s">
        <v>1754</v>
      </c>
      <c r="C331" s="39" t="s">
        <v>1239</v>
      </c>
      <c r="D331" s="74" t="s">
        <v>1227</v>
      </c>
      <c r="E331" s="74" t="s">
        <v>1224</v>
      </c>
      <c r="F331" s="74" t="s">
        <v>1226</v>
      </c>
      <c r="G331" s="74" t="s">
        <v>1226</v>
      </c>
    </row>
    <row r="332" spans="1:7" x14ac:dyDescent="0.2">
      <c r="A332" s="39">
        <v>2433</v>
      </c>
      <c r="B332" s="38" t="s">
        <v>1755</v>
      </c>
      <c r="C332" s="39" t="s">
        <v>1239</v>
      </c>
      <c r="D332" s="74" t="s">
        <v>1227</v>
      </c>
      <c r="E332" s="74" t="s">
        <v>1224</v>
      </c>
      <c r="F332" s="74" t="s">
        <v>1226</v>
      </c>
      <c r="G332" s="74" t="s">
        <v>1225</v>
      </c>
    </row>
    <row r="333" spans="1:7" x14ac:dyDescent="0.2">
      <c r="A333" s="39">
        <v>2434</v>
      </c>
      <c r="B333" s="38" t="s">
        <v>1756</v>
      </c>
      <c r="C333" s="39" t="s">
        <v>1239</v>
      </c>
      <c r="D333" s="74" t="s">
        <v>1227</v>
      </c>
      <c r="E333" s="74" t="s">
        <v>1224</v>
      </c>
      <c r="F333" s="74" t="s">
        <v>1226</v>
      </c>
      <c r="G333" s="74" t="s">
        <v>1225</v>
      </c>
    </row>
    <row r="334" spans="1:7" x14ac:dyDescent="0.2">
      <c r="A334" s="39">
        <v>2435</v>
      </c>
      <c r="B334" s="38" t="s">
        <v>1757</v>
      </c>
      <c r="C334" s="39" t="s">
        <v>1239</v>
      </c>
      <c r="D334" s="74" t="s">
        <v>1227</v>
      </c>
      <c r="E334" s="74" t="s">
        <v>1224</v>
      </c>
      <c r="F334" s="74" t="s">
        <v>1226</v>
      </c>
      <c r="G334" s="74" t="s">
        <v>1226</v>
      </c>
    </row>
    <row r="335" spans="1:7" x14ac:dyDescent="0.2">
      <c r="A335" s="39">
        <v>2440</v>
      </c>
      <c r="B335" s="38" t="s">
        <v>1758</v>
      </c>
      <c r="C335" s="39" t="s">
        <v>1239</v>
      </c>
      <c r="D335" s="74" t="s">
        <v>1227</v>
      </c>
      <c r="E335" s="74" t="s">
        <v>1224</v>
      </c>
      <c r="F335" s="74" t="s">
        <v>1226</v>
      </c>
      <c r="G335" s="74" t="s">
        <v>1226</v>
      </c>
    </row>
    <row r="336" spans="1:7" x14ac:dyDescent="0.2">
      <c r="A336" s="39">
        <v>2441</v>
      </c>
      <c r="B336" s="38" t="s">
        <v>1759</v>
      </c>
      <c r="C336" s="39" t="s">
        <v>1239</v>
      </c>
      <c r="D336" s="74" t="s">
        <v>1227</v>
      </c>
      <c r="E336" s="74" t="s">
        <v>1224</v>
      </c>
      <c r="F336" s="74" t="s">
        <v>1226</v>
      </c>
      <c r="G336" s="74" t="s">
        <v>1225</v>
      </c>
    </row>
    <row r="337" spans="1:7" x14ac:dyDescent="0.2">
      <c r="A337" s="39">
        <v>2442</v>
      </c>
      <c r="B337" s="38" t="s">
        <v>1760</v>
      </c>
      <c r="C337" s="39" t="s">
        <v>1239</v>
      </c>
      <c r="D337" s="74" t="s">
        <v>1227</v>
      </c>
      <c r="E337" s="74" t="s">
        <v>1224</v>
      </c>
      <c r="F337" s="74" t="s">
        <v>1226</v>
      </c>
      <c r="G337" s="74" t="s">
        <v>1226</v>
      </c>
    </row>
    <row r="338" spans="1:7" x14ac:dyDescent="0.2">
      <c r="A338" s="39">
        <v>2443</v>
      </c>
      <c r="B338" s="38" t="s">
        <v>1761</v>
      </c>
      <c r="C338" s="39" t="s">
        <v>1239</v>
      </c>
      <c r="D338" s="74" t="s">
        <v>1227</v>
      </c>
      <c r="E338" s="74" t="s">
        <v>1224</v>
      </c>
      <c r="F338" s="74" t="s">
        <v>1226</v>
      </c>
      <c r="G338" s="74" t="s">
        <v>1226</v>
      </c>
    </row>
    <row r="339" spans="1:7" x14ac:dyDescent="0.2">
      <c r="A339" s="39">
        <v>2444</v>
      </c>
      <c r="B339" s="38" t="s">
        <v>1762</v>
      </c>
      <c r="C339" s="39" t="s">
        <v>1239</v>
      </c>
      <c r="D339" s="74" t="s">
        <v>1227</v>
      </c>
      <c r="E339" s="74" t="s">
        <v>1224</v>
      </c>
      <c r="F339" s="74" t="s">
        <v>1226</v>
      </c>
      <c r="G339" s="74" t="s">
        <v>1225</v>
      </c>
    </row>
    <row r="340" spans="1:7" x14ac:dyDescent="0.2">
      <c r="A340" s="39">
        <v>2451</v>
      </c>
      <c r="B340" s="38" t="s">
        <v>1763</v>
      </c>
      <c r="C340" s="39" t="s">
        <v>1239</v>
      </c>
      <c r="D340" s="74" t="s">
        <v>1227</v>
      </c>
      <c r="E340" s="74" t="s">
        <v>1224</v>
      </c>
      <c r="F340" s="74" t="s">
        <v>1226</v>
      </c>
      <c r="G340" s="74" t="s">
        <v>1226</v>
      </c>
    </row>
    <row r="341" spans="1:7" x14ac:dyDescent="0.2">
      <c r="A341" s="39">
        <v>2452</v>
      </c>
      <c r="B341" s="38" t="s">
        <v>1764</v>
      </c>
      <c r="C341" s="39" t="s">
        <v>1239</v>
      </c>
      <c r="D341" s="74" t="s">
        <v>1227</v>
      </c>
      <c r="E341" s="74" t="s">
        <v>1224</v>
      </c>
      <c r="F341" s="74" t="s">
        <v>1226</v>
      </c>
      <c r="G341" s="74" t="s">
        <v>1226</v>
      </c>
    </row>
    <row r="342" spans="1:7" x14ac:dyDescent="0.2">
      <c r="A342" s="39">
        <v>2453</v>
      </c>
      <c r="B342" s="38" t="s">
        <v>1765</v>
      </c>
      <c r="C342" s="39" t="s">
        <v>1239</v>
      </c>
      <c r="D342" s="74" t="s">
        <v>1227</v>
      </c>
      <c r="E342" s="74" t="s">
        <v>1224</v>
      </c>
      <c r="F342" s="74" t="s">
        <v>1226</v>
      </c>
      <c r="G342" s="74" t="s">
        <v>1225</v>
      </c>
    </row>
    <row r="343" spans="1:7" x14ac:dyDescent="0.2">
      <c r="A343" s="39">
        <v>2454</v>
      </c>
      <c r="B343" s="38" t="s">
        <v>1766</v>
      </c>
      <c r="C343" s="39" t="s">
        <v>1239</v>
      </c>
      <c r="D343" s="74" t="s">
        <v>1227</v>
      </c>
      <c r="E343" s="74" t="s">
        <v>1224</v>
      </c>
      <c r="F343" s="74" t="s">
        <v>1226</v>
      </c>
      <c r="G343" s="74" t="s">
        <v>1225</v>
      </c>
    </row>
    <row r="344" spans="1:7" x14ac:dyDescent="0.2">
      <c r="A344" s="39">
        <v>2460</v>
      </c>
      <c r="B344" s="38" t="s">
        <v>1767</v>
      </c>
      <c r="C344" s="39" t="s">
        <v>1239</v>
      </c>
      <c r="D344" s="74" t="s">
        <v>1227</v>
      </c>
      <c r="E344" s="74" t="s">
        <v>1224</v>
      </c>
      <c r="F344" s="74" t="s">
        <v>1226</v>
      </c>
      <c r="G344" s="74" t="s">
        <v>1226</v>
      </c>
    </row>
    <row r="345" spans="1:7" x14ac:dyDescent="0.2">
      <c r="A345" s="39">
        <v>2462</v>
      </c>
      <c r="B345" s="38" t="s">
        <v>1768</v>
      </c>
      <c r="C345" s="39" t="s">
        <v>1239</v>
      </c>
      <c r="D345" s="74" t="s">
        <v>1227</v>
      </c>
      <c r="E345" s="74" t="s">
        <v>1224</v>
      </c>
      <c r="F345" s="74" t="s">
        <v>1226</v>
      </c>
      <c r="G345" s="74" t="s">
        <v>1225</v>
      </c>
    </row>
    <row r="346" spans="1:7" x14ac:dyDescent="0.2">
      <c r="A346" s="39">
        <v>2463</v>
      </c>
      <c r="B346" s="38" t="s">
        <v>1769</v>
      </c>
      <c r="C346" s="39" t="s">
        <v>1239</v>
      </c>
      <c r="D346" s="74" t="s">
        <v>1227</v>
      </c>
      <c r="E346" s="74" t="s">
        <v>1224</v>
      </c>
      <c r="F346" s="74" t="s">
        <v>1226</v>
      </c>
      <c r="G346" s="74" t="s">
        <v>1225</v>
      </c>
    </row>
    <row r="347" spans="1:7" x14ac:dyDescent="0.2">
      <c r="A347" s="39">
        <v>2464</v>
      </c>
      <c r="B347" s="38" t="s">
        <v>1770</v>
      </c>
      <c r="C347" s="39" t="s">
        <v>1239</v>
      </c>
      <c r="D347" s="74" t="s">
        <v>1227</v>
      </c>
      <c r="E347" s="74" t="s">
        <v>1224</v>
      </c>
      <c r="F347" s="74" t="s">
        <v>1226</v>
      </c>
      <c r="G347" s="74" t="s">
        <v>1225</v>
      </c>
    </row>
    <row r="348" spans="1:7" x14ac:dyDescent="0.2">
      <c r="A348" s="39">
        <v>2465</v>
      </c>
      <c r="B348" s="38" t="s">
        <v>1771</v>
      </c>
      <c r="C348" s="39" t="s">
        <v>1239</v>
      </c>
      <c r="D348" s="74" t="s">
        <v>1227</v>
      </c>
      <c r="E348" s="74" t="s">
        <v>1224</v>
      </c>
      <c r="F348" s="74" t="s">
        <v>1226</v>
      </c>
      <c r="G348" s="74" t="s">
        <v>1225</v>
      </c>
    </row>
    <row r="349" spans="1:7" x14ac:dyDescent="0.2">
      <c r="A349" s="39">
        <v>2471</v>
      </c>
      <c r="B349" s="38" t="s">
        <v>1772</v>
      </c>
      <c r="C349" s="39" t="s">
        <v>1239</v>
      </c>
      <c r="D349" s="74" t="s">
        <v>1227</v>
      </c>
      <c r="E349" s="74" t="s">
        <v>1224</v>
      </c>
      <c r="F349" s="74" t="s">
        <v>1226</v>
      </c>
      <c r="G349" s="74" t="s">
        <v>1225</v>
      </c>
    </row>
    <row r="350" spans="1:7" x14ac:dyDescent="0.2">
      <c r="A350" s="39">
        <v>2472</v>
      </c>
      <c r="B350" s="38" t="s">
        <v>1774</v>
      </c>
      <c r="C350" s="39" t="s">
        <v>1239</v>
      </c>
      <c r="D350" s="74" t="s">
        <v>1227</v>
      </c>
      <c r="E350" s="74" t="s">
        <v>1224</v>
      </c>
      <c r="F350" s="74" t="s">
        <v>1226</v>
      </c>
      <c r="G350" s="74" t="s">
        <v>1225</v>
      </c>
    </row>
    <row r="351" spans="1:7" x14ac:dyDescent="0.2">
      <c r="A351" s="39">
        <v>2473</v>
      </c>
      <c r="B351" s="38" t="s">
        <v>1776</v>
      </c>
      <c r="C351" s="39" t="s">
        <v>1748</v>
      </c>
      <c r="D351" s="74" t="s">
        <v>1227</v>
      </c>
      <c r="E351" s="74" t="s">
        <v>1224</v>
      </c>
      <c r="F351" s="74" t="s">
        <v>1226</v>
      </c>
      <c r="G351" s="74" t="s">
        <v>1225</v>
      </c>
    </row>
    <row r="352" spans="1:7" x14ac:dyDescent="0.2">
      <c r="A352" s="39">
        <v>2474</v>
      </c>
      <c r="B352" s="38" t="s">
        <v>1777</v>
      </c>
      <c r="C352" s="39" t="s">
        <v>1748</v>
      </c>
      <c r="D352" s="74" t="s">
        <v>1227</v>
      </c>
      <c r="E352" s="74" t="s">
        <v>1224</v>
      </c>
      <c r="F352" s="74" t="s">
        <v>1226</v>
      </c>
      <c r="G352" s="74" t="s">
        <v>1226</v>
      </c>
    </row>
    <row r="353" spans="1:7" x14ac:dyDescent="0.2">
      <c r="A353" s="39">
        <v>2475</v>
      </c>
      <c r="B353" s="38" t="s">
        <v>1778</v>
      </c>
      <c r="C353" s="39" t="s">
        <v>1748</v>
      </c>
      <c r="D353" s="74" t="s">
        <v>1227</v>
      </c>
      <c r="E353" s="74" t="s">
        <v>1224</v>
      </c>
      <c r="F353" s="74" t="s">
        <v>1226</v>
      </c>
      <c r="G353" s="74" t="s">
        <v>1225</v>
      </c>
    </row>
    <row r="354" spans="1:7" x14ac:dyDescent="0.2">
      <c r="A354" s="39">
        <v>2481</v>
      </c>
      <c r="B354" s="38" t="s">
        <v>1779</v>
      </c>
      <c r="C354" s="39" t="s">
        <v>1239</v>
      </c>
      <c r="D354" s="74" t="s">
        <v>1227</v>
      </c>
      <c r="E354" s="74" t="s">
        <v>1224</v>
      </c>
      <c r="F354" s="74" t="s">
        <v>1226</v>
      </c>
      <c r="G354" s="74" t="s">
        <v>1226</v>
      </c>
    </row>
    <row r="355" spans="1:7" x14ac:dyDescent="0.2">
      <c r="A355" s="39">
        <v>2482</v>
      </c>
      <c r="B355" s="38" t="s">
        <v>1780</v>
      </c>
      <c r="C355" s="39" t="s">
        <v>1239</v>
      </c>
      <c r="D355" s="74" t="s">
        <v>1227</v>
      </c>
      <c r="E355" s="74" t="s">
        <v>1224</v>
      </c>
      <c r="F355" s="74" t="s">
        <v>1226</v>
      </c>
      <c r="G355" s="74" t="s">
        <v>1226</v>
      </c>
    </row>
    <row r="356" spans="1:7" x14ac:dyDescent="0.2">
      <c r="A356" s="39">
        <v>2483</v>
      </c>
      <c r="B356" s="38" t="s">
        <v>1781</v>
      </c>
      <c r="C356" s="39" t="s">
        <v>1239</v>
      </c>
      <c r="D356" s="74" t="s">
        <v>1227</v>
      </c>
      <c r="E356" s="74" t="s">
        <v>1224</v>
      </c>
      <c r="F356" s="74" t="s">
        <v>1226</v>
      </c>
      <c r="G356" s="74" t="s">
        <v>1226</v>
      </c>
    </row>
    <row r="357" spans="1:7" x14ac:dyDescent="0.2">
      <c r="A357" s="39">
        <v>2485</v>
      </c>
      <c r="B357" s="38" t="s">
        <v>1782</v>
      </c>
      <c r="C357" s="39" t="s">
        <v>1239</v>
      </c>
      <c r="D357" s="74" t="s">
        <v>1227</v>
      </c>
      <c r="E357" s="74" t="s">
        <v>1224</v>
      </c>
      <c r="F357" s="74" t="s">
        <v>1226</v>
      </c>
      <c r="G357" s="74" t="s">
        <v>1226</v>
      </c>
    </row>
    <row r="358" spans="1:7" x14ac:dyDescent="0.2">
      <c r="A358" s="39">
        <v>2486</v>
      </c>
      <c r="B358" s="38" t="s">
        <v>1783</v>
      </c>
      <c r="C358" s="39" t="s">
        <v>1239</v>
      </c>
      <c r="D358" s="74" t="s">
        <v>1227</v>
      </c>
      <c r="E358" s="74" t="s">
        <v>1224</v>
      </c>
      <c r="F358" s="74" t="s">
        <v>1226</v>
      </c>
      <c r="G358" s="74" t="s">
        <v>1226</v>
      </c>
    </row>
    <row r="359" spans="1:7" x14ac:dyDescent="0.2">
      <c r="A359" s="39">
        <v>2490</v>
      </c>
      <c r="B359" s="38" t="s">
        <v>1784</v>
      </c>
      <c r="C359" s="39" t="s">
        <v>1239</v>
      </c>
      <c r="D359" s="74" t="s">
        <v>1227</v>
      </c>
      <c r="E359" s="74" t="s">
        <v>1224</v>
      </c>
      <c r="F359" s="74" t="s">
        <v>1226</v>
      </c>
      <c r="G359" s="74" t="s">
        <v>1226</v>
      </c>
    </row>
    <row r="360" spans="1:7" x14ac:dyDescent="0.2">
      <c r="A360" s="39">
        <v>2491</v>
      </c>
      <c r="B360" s="38" t="s">
        <v>1785</v>
      </c>
      <c r="C360" s="39" t="s">
        <v>1748</v>
      </c>
      <c r="D360" s="74" t="s">
        <v>1227</v>
      </c>
      <c r="E360" s="74" t="s">
        <v>1224</v>
      </c>
      <c r="F360" s="74" t="s">
        <v>1226</v>
      </c>
      <c r="G360" s="74" t="s">
        <v>1226</v>
      </c>
    </row>
    <row r="361" spans="1:7" x14ac:dyDescent="0.2">
      <c r="A361" s="39">
        <v>2492</v>
      </c>
      <c r="B361" s="38" t="s">
        <v>1786</v>
      </c>
      <c r="C361" s="39" t="s">
        <v>1239</v>
      </c>
      <c r="D361" s="74" t="s">
        <v>1227</v>
      </c>
      <c r="E361" s="74" t="s">
        <v>1224</v>
      </c>
      <c r="F361" s="74" t="s">
        <v>1226</v>
      </c>
      <c r="G361" s="74" t="s">
        <v>1225</v>
      </c>
    </row>
    <row r="362" spans="1:7" x14ac:dyDescent="0.2">
      <c r="A362" s="39">
        <v>2493</v>
      </c>
      <c r="B362" s="38" t="s">
        <v>1787</v>
      </c>
      <c r="C362" s="39" t="s">
        <v>1239</v>
      </c>
      <c r="D362" s="74" t="s">
        <v>1227</v>
      </c>
      <c r="E362" s="74" t="s">
        <v>1224</v>
      </c>
      <c r="F362" s="74" t="s">
        <v>1226</v>
      </c>
      <c r="G362" s="74" t="s">
        <v>1226</v>
      </c>
    </row>
    <row r="363" spans="1:7" x14ac:dyDescent="0.2">
      <c r="A363" s="39">
        <v>2500</v>
      </c>
      <c r="B363" s="38" t="s">
        <v>1788</v>
      </c>
      <c r="C363" s="39" t="s">
        <v>1239</v>
      </c>
      <c r="D363" s="74" t="s">
        <v>1227</v>
      </c>
      <c r="E363" s="74" t="s">
        <v>1224</v>
      </c>
      <c r="F363" s="74" t="s">
        <v>1226</v>
      </c>
      <c r="G363" s="74" t="s">
        <v>1226</v>
      </c>
    </row>
    <row r="364" spans="1:7" x14ac:dyDescent="0.2">
      <c r="A364" s="39">
        <v>2502</v>
      </c>
      <c r="B364" s="38" t="s">
        <v>1789</v>
      </c>
      <c r="C364" s="39" t="s">
        <v>1239</v>
      </c>
      <c r="D364" s="74" t="s">
        <v>1229</v>
      </c>
      <c r="E364" s="74" t="s">
        <v>1224</v>
      </c>
      <c r="F364" s="74" t="s">
        <v>1225</v>
      </c>
      <c r="G364" s="74" t="s">
        <v>1226</v>
      </c>
    </row>
    <row r="365" spans="1:7" x14ac:dyDescent="0.2">
      <c r="A365" s="39">
        <v>2511</v>
      </c>
      <c r="B365" s="38" t="s">
        <v>1790</v>
      </c>
      <c r="C365" s="39" t="s">
        <v>1239</v>
      </c>
      <c r="D365" s="74" t="s">
        <v>1227</v>
      </c>
      <c r="E365" s="74" t="s">
        <v>1224</v>
      </c>
      <c r="F365" s="74" t="s">
        <v>1226</v>
      </c>
      <c r="G365" s="74" t="s">
        <v>1226</v>
      </c>
    </row>
    <row r="366" spans="1:7" x14ac:dyDescent="0.2">
      <c r="A366" s="39">
        <v>2512</v>
      </c>
      <c r="B366" s="38" t="s">
        <v>1791</v>
      </c>
      <c r="C366" s="39" t="s">
        <v>1239</v>
      </c>
      <c r="D366" s="74" t="s">
        <v>1227</v>
      </c>
      <c r="E366" s="74" t="s">
        <v>1224</v>
      </c>
      <c r="F366" s="74" t="s">
        <v>1226</v>
      </c>
      <c r="G366" s="74" t="s">
        <v>1226</v>
      </c>
    </row>
    <row r="367" spans="1:7" x14ac:dyDescent="0.2">
      <c r="A367" s="39">
        <v>2513</v>
      </c>
      <c r="B367" s="38" t="s">
        <v>1792</v>
      </c>
      <c r="C367" s="39" t="s">
        <v>1239</v>
      </c>
      <c r="D367" s="74" t="s">
        <v>1229</v>
      </c>
      <c r="E367" s="74" t="s">
        <v>1224</v>
      </c>
      <c r="F367" s="74" t="s">
        <v>1225</v>
      </c>
      <c r="G367" s="74" t="s">
        <v>1226</v>
      </c>
    </row>
    <row r="368" spans="1:7" x14ac:dyDescent="0.2">
      <c r="A368" s="39">
        <v>2514</v>
      </c>
      <c r="B368" s="38" t="s">
        <v>1793</v>
      </c>
      <c r="C368" s="39" t="s">
        <v>1239</v>
      </c>
      <c r="D368" s="74" t="s">
        <v>1227</v>
      </c>
      <c r="E368" s="74" t="s">
        <v>1224</v>
      </c>
      <c r="F368" s="74" t="s">
        <v>1226</v>
      </c>
      <c r="G368" s="74" t="s">
        <v>1226</v>
      </c>
    </row>
    <row r="369" spans="1:7" x14ac:dyDescent="0.2">
      <c r="A369" s="39">
        <v>2521</v>
      </c>
      <c r="B369" s="38" t="s">
        <v>1794</v>
      </c>
      <c r="C369" s="39" t="s">
        <v>1239</v>
      </c>
      <c r="D369" s="74" t="s">
        <v>1227</v>
      </c>
      <c r="E369" s="74" t="s">
        <v>1224</v>
      </c>
      <c r="F369" s="74" t="s">
        <v>1226</v>
      </c>
      <c r="G369" s="74" t="s">
        <v>1226</v>
      </c>
    </row>
    <row r="370" spans="1:7" x14ac:dyDescent="0.2">
      <c r="A370" s="39">
        <v>2522</v>
      </c>
      <c r="B370" s="38" t="s">
        <v>1795</v>
      </c>
      <c r="C370" s="39" t="s">
        <v>1239</v>
      </c>
      <c r="D370" s="74" t="s">
        <v>1227</v>
      </c>
      <c r="E370" s="74" t="s">
        <v>1224</v>
      </c>
      <c r="F370" s="74" t="s">
        <v>1226</v>
      </c>
      <c r="G370" s="74" t="s">
        <v>1226</v>
      </c>
    </row>
    <row r="371" spans="1:7" x14ac:dyDescent="0.2">
      <c r="A371" s="39">
        <v>2523</v>
      </c>
      <c r="B371" s="38" t="s">
        <v>1796</v>
      </c>
      <c r="C371" s="39" t="s">
        <v>1239</v>
      </c>
      <c r="D371" s="74" t="s">
        <v>1227</v>
      </c>
      <c r="E371" s="74" t="s">
        <v>1224</v>
      </c>
      <c r="F371" s="74" t="s">
        <v>1226</v>
      </c>
      <c r="G371" s="74" t="s">
        <v>1226</v>
      </c>
    </row>
    <row r="372" spans="1:7" x14ac:dyDescent="0.2">
      <c r="A372" s="39">
        <v>2524</v>
      </c>
      <c r="B372" s="38" t="s">
        <v>1797</v>
      </c>
      <c r="C372" s="39" t="s">
        <v>1239</v>
      </c>
      <c r="D372" s="74" t="s">
        <v>1227</v>
      </c>
      <c r="E372" s="74" t="s">
        <v>1224</v>
      </c>
      <c r="F372" s="74" t="s">
        <v>1226</v>
      </c>
      <c r="G372" s="74" t="s">
        <v>1225</v>
      </c>
    </row>
    <row r="373" spans="1:7" x14ac:dyDescent="0.2">
      <c r="A373" s="39">
        <v>2525</v>
      </c>
      <c r="B373" s="38" t="s">
        <v>1798</v>
      </c>
      <c r="C373" s="39" t="s">
        <v>1239</v>
      </c>
      <c r="D373" s="74" t="s">
        <v>1227</v>
      </c>
      <c r="E373" s="74" t="s">
        <v>1224</v>
      </c>
      <c r="F373" s="74" t="s">
        <v>1226</v>
      </c>
      <c r="G373" s="74" t="s">
        <v>1226</v>
      </c>
    </row>
    <row r="374" spans="1:7" x14ac:dyDescent="0.2">
      <c r="A374" s="39">
        <v>2531</v>
      </c>
      <c r="B374" s="38" t="s">
        <v>1799</v>
      </c>
      <c r="C374" s="39" t="s">
        <v>1239</v>
      </c>
      <c r="D374" s="74" t="s">
        <v>1227</v>
      </c>
      <c r="E374" s="74" t="s">
        <v>1224</v>
      </c>
      <c r="F374" s="74" t="s">
        <v>1226</v>
      </c>
      <c r="G374" s="74" t="s">
        <v>1225</v>
      </c>
    </row>
    <row r="375" spans="1:7" x14ac:dyDescent="0.2">
      <c r="A375" s="39">
        <v>2532</v>
      </c>
      <c r="B375" s="38" t="s">
        <v>1800</v>
      </c>
      <c r="C375" s="39" t="s">
        <v>1239</v>
      </c>
      <c r="D375" s="74" t="s">
        <v>1227</v>
      </c>
      <c r="E375" s="74" t="s">
        <v>1224</v>
      </c>
      <c r="F375" s="74" t="s">
        <v>1226</v>
      </c>
      <c r="G375" s="74" t="s">
        <v>1226</v>
      </c>
    </row>
    <row r="376" spans="1:7" x14ac:dyDescent="0.2">
      <c r="A376" s="39">
        <v>2533</v>
      </c>
      <c r="B376" s="38" t="s">
        <v>1801</v>
      </c>
      <c r="C376" s="39" t="s">
        <v>1239</v>
      </c>
      <c r="D376" s="74" t="s">
        <v>1227</v>
      </c>
      <c r="E376" s="74" t="s">
        <v>1224</v>
      </c>
      <c r="F376" s="74" t="s">
        <v>1226</v>
      </c>
      <c r="G376" s="74" t="s">
        <v>1225</v>
      </c>
    </row>
    <row r="377" spans="1:7" x14ac:dyDescent="0.2">
      <c r="A377" s="39">
        <v>2534</v>
      </c>
      <c r="B377" s="38" t="s">
        <v>1802</v>
      </c>
      <c r="C377" s="39" t="s">
        <v>1239</v>
      </c>
      <c r="D377" s="74" t="s">
        <v>1227</v>
      </c>
      <c r="E377" s="74" t="s">
        <v>1224</v>
      </c>
      <c r="F377" s="74" t="s">
        <v>1226</v>
      </c>
      <c r="G377" s="74" t="s">
        <v>1226</v>
      </c>
    </row>
    <row r="378" spans="1:7" x14ac:dyDescent="0.2">
      <c r="A378" s="39">
        <v>2540</v>
      </c>
      <c r="B378" s="38" t="s">
        <v>1803</v>
      </c>
      <c r="C378" s="39" t="s">
        <v>1239</v>
      </c>
      <c r="D378" s="74" t="s">
        <v>1227</v>
      </c>
      <c r="E378" s="74" t="s">
        <v>1224</v>
      </c>
      <c r="F378" s="74" t="s">
        <v>1226</v>
      </c>
      <c r="G378" s="74" t="s">
        <v>1226</v>
      </c>
    </row>
    <row r="379" spans="1:7" x14ac:dyDescent="0.2">
      <c r="A379" s="39">
        <v>2542</v>
      </c>
      <c r="B379" s="38" t="s">
        <v>1804</v>
      </c>
      <c r="C379" s="39" t="s">
        <v>1239</v>
      </c>
      <c r="D379" s="74" t="s">
        <v>1227</v>
      </c>
      <c r="E379" s="74" t="s">
        <v>1224</v>
      </c>
      <c r="F379" s="74" t="s">
        <v>1226</v>
      </c>
      <c r="G379" s="74" t="s">
        <v>1226</v>
      </c>
    </row>
    <row r="380" spans="1:7" x14ac:dyDescent="0.2">
      <c r="A380" s="39">
        <v>2544</v>
      </c>
      <c r="B380" s="38" t="s">
        <v>1805</v>
      </c>
      <c r="C380" s="39" t="s">
        <v>1239</v>
      </c>
      <c r="D380" s="74" t="s">
        <v>1227</v>
      </c>
      <c r="E380" s="74" t="s">
        <v>1224</v>
      </c>
      <c r="F380" s="74" t="s">
        <v>1226</v>
      </c>
      <c r="G380" s="74" t="s">
        <v>1226</v>
      </c>
    </row>
    <row r="381" spans="1:7" x14ac:dyDescent="0.2">
      <c r="A381" s="39">
        <v>2551</v>
      </c>
      <c r="B381" s="38" t="s">
        <v>1806</v>
      </c>
      <c r="C381" s="39" t="s">
        <v>1239</v>
      </c>
      <c r="D381" s="74" t="s">
        <v>1227</v>
      </c>
      <c r="E381" s="74" t="s">
        <v>1224</v>
      </c>
      <c r="F381" s="74" t="s">
        <v>1226</v>
      </c>
      <c r="G381" s="74" t="s">
        <v>1226</v>
      </c>
    </row>
    <row r="382" spans="1:7" x14ac:dyDescent="0.2">
      <c r="A382" s="39">
        <v>2552</v>
      </c>
      <c r="B382" s="38" t="s">
        <v>1807</v>
      </c>
      <c r="C382" s="39" t="s">
        <v>1239</v>
      </c>
      <c r="D382" s="74" t="s">
        <v>1227</v>
      </c>
      <c r="E382" s="74" t="s">
        <v>1224</v>
      </c>
      <c r="F382" s="74" t="s">
        <v>1226</v>
      </c>
      <c r="G382" s="74" t="s">
        <v>1226</v>
      </c>
    </row>
    <row r="383" spans="1:7" x14ac:dyDescent="0.2">
      <c r="A383" s="39">
        <v>2560</v>
      </c>
      <c r="B383" s="38" t="s">
        <v>1808</v>
      </c>
      <c r="C383" s="39" t="s">
        <v>1239</v>
      </c>
      <c r="D383" s="74" t="s">
        <v>1227</v>
      </c>
      <c r="E383" s="74" t="s">
        <v>1224</v>
      </c>
      <c r="F383" s="74" t="s">
        <v>1226</v>
      </c>
      <c r="G383" s="74" t="s">
        <v>1226</v>
      </c>
    </row>
    <row r="384" spans="1:7" x14ac:dyDescent="0.2">
      <c r="A384" s="39">
        <v>2562</v>
      </c>
      <c r="B384" s="38" t="s">
        <v>1809</v>
      </c>
      <c r="C384" s="39" t="s">
        <v>1239</v>
      </c>
      <c r="D384" s="74" t="s">
        <v>1229</v>
      </c>
      <c r="E384" s="74" t="s">
        <v>1224</v>
      </c>
      <c r="F384" s="74" t="s">
        <v>1225</v>
      </c>
      <c r="G384" s="74" t="s">
        <v>1226</v>
      </c>
    </row>
    <row r="385" spans="1:7" x14ac:dyDescent="0.2">
      <c r="A385" s="39">
        <v>2563</v>
      </c>
      <c r="B385" s="38" t="s">
        <v>1810</v>
      </c>
      <c r="C385" s="39" t="s">
        <v>1239</v>
      </c>
      <c r="D385" s="74" t="s">
        <v>1227</v>
      </c>
      <c r="E385" s="74" t="s">
        <v>1224</v>
      </c>
      <c r="F385" s="74" t="s">
        <v>1226</v>
      </c>
      <c r="G385" s="74" t="s">
        <v>1226</v>
      </c>
    </row>
    <row r="386" spans="1:7" x14ac:dyDescent="0.2">
      <c r="A386" s="39">
        <v>2564</v>
      </c>
      <c r="B386" s="38" t="s">
        <v>1811</v>
      </c>
      <c r="C386" s="39" t="s">
        <v>1239</v>
      </c>
      <c r="D386" s="74" t="s">
        <v>1227</v>
      </c>
      <c r="E386" s="74" t="s">
        <v>1224</v>
      </c>
      <c r="F386" s="74" t="s">
        <v>1226</v>
      </c>
      <c r="G386" s="74" t="s">
        <v>1226</v>
      </c>
    </row>
    <row r="387" spans="1:7" x14ac:dyDescent="0.2">
      <c r="A387" s="39">
        <v>2565</v>
      </c>
      <c r="B387" s="38" t="s">
        <v>1812</v>
      </c>
      <c r="C387" s="39" t="s">
        <v>1239</v>
      </c>
      <c r="D387" s="74" t="s">
        <v>1227</v>
      </c>
      <c r="E387" s="74" t="s">
        <v>1224</v>
      </c>
      <c r="F387" s="74" t="s">
        <v>1226</v>
      </c>
      <c r="G387" s="74" t="s">
        <v>1225</v>
      </c>
    </row>
    <row r="388" spans="1:7" x14ac:dyDescent="0.2">
      <c r="A388" s="39">
        <v>2571</v>
      </c>
      <c r="B388" s="38" t="s">
        <v>1813</v>
      </c>
      <c r="C388" s="39" t="s">
        <v>1239</v>
      </c>
      <c r="D388" s="74" t="s">
        <v>1227</v>
      </c>
      <c r="E388" s="74" t="s">
        <v>1224</v>
      </c>
      <c r="F388" s="74" t="s">
        <v>1226</v>
      </c>
      <c r="G388" s="74" t="s">
        <v>1226</v>
      </c>
    </row>
    <row r="389" spans="1:7" x14ac:dyDescent="0.2">
      <c r="A389" s="39">
        <v>2572</v>
      </c>
      <c r="B389" s="38" t="s">
        <v>1814</v>
      </c>
      <c r="C389" s="39" t="s">
        <v>1239</v>
      </c>
      <c r="D389" s="74" t="s">
        <v>1227</v>
      </c>
      <c r="E389" s="74" t="s">
        <v>1224</v>
      </c>
      <c r="F389" s="74" t="s">
        <v>1226</v>
      </c>
      <c r="G389" s="74" t="s">
        <v>1225</v>
      </c>
    </row>
    <row r="390" spans="1:7" x14ac:dyDescent="0.2">
      <c r="A390" s="39">
        <v>2601</v>
      </c>
      <c r="B390" s="38" t="s">
        <v>1815</v>
      </c>
      <c r="C390" s="39" t="s">
        <v>1239</v>
      </c>
      <c r="D390" s="74" t="s">
        <v>1227</v>
      </c>
      <c r="E390" s="74" t="s">
        <v>1224</v>
      </c>
      <c r="F390" s="74" t="s">
        <v>1226</v>
      </c>
      <c r="G390" s="74" t="s">
        <v>1226</v>
      </c>
    </row>
    <row r="391" spans="1:7" x14ac:dyDescent="0.2">
      <c r="A391" s="39">
        <v>2602</v>
      </c>
      <c r="B391" s="38" t="s">
        <v>1816</v>
      </c>
      <c r="C391" s="39" t="s">
        <v>1239</v>
      </c>
      <c r="D391" s="74" t="s">
        <v>1227</v>
      </c>
      <c r="E391" s="74" t="s">
        <v>1224</v>
      </c>
      <c r="F391" s="74" t="s">
        <v>1226</v>
      </c>
      <c r="G391" s="74" t="s">
        <v>1225</v>
      </c>
    </row>
    <row r="392" spans="1:7" x14ac:dyDescent="0.2">
      <c r="A392" s="39">
        <v>2603</v>
      </c>
      <c r="B392" s="38" t="s">
        <v>1817</v>
      </c>
      <c r="C392" s="39" t="s">
        <v>1239</v>
      </c>
      <c r="D392" s="74" t="s">
        <v>1227</v>
      </c>
      <c r="E392" s="74" t="s">
        <v>1224</v>
      </c>
      <c r="F392" s="74" t="s">
        <v>1226</v>
      </c>
      <c r="G392" s="74" t="s">
        <v>1226</v>
      </c>
    </row>
    <row r="393" spans="1:7" x14ac:dyDescent="0.2">
      <c r="A393" s="39">
        <v>2604</v>
      </c>
      <c r="B393" s="38" t="s">
        <v>1818</v>
      </c>
      <c r="C393" s="39" t="s">
        <v>1239</v>
      </c>
      <c r="D393" s="74" t="s">
        <v>1227</v>
      </c>
      <c r="E393" s="74" t="s">
        <v>1224</v>
      </c>
      <c r="F393" s="74" t="s">
        <v>1226</v>
      </c>
      <c r="G393" s="74" t="s">
        <v>1226</v>
      </c>
    </row>
    <row r="394" spans="1:7" x14ac:dyDescent="0.2">
      <c r="A394" s="39">
        <v>2620</v>
      </c>
      <c r="B394" s="38" t="s">
        <v>1819</v>
      </c>
      <c r="C394" s="39" t="s">
        <v>1239</v>
      </c>
      <c r="D394" s="74" t="s">
        <v>1227</v>
      </c>
      <c r="E394" s="74" t="s">
        <v>1224</v>
      </c>
      <c r="F394" s="74" t="s">
        <v>1226</v>
      </c>
      <c r="G394" s="74" t="s">
        <v>1226</v>
      </c>
    </row>
    <row r="395" spans="1:7" x14ac:dyDescent="0.2">
      <c r="A395" s="39">
        <v>2622</v>
      </c>
      <c r="B395" s="38" t="s">
        <v>1820</v>
      </c>
      <c r="C395" s="39" t="s">
        <v>1239</v>
      </c>
      <c r="D395" s="74" t="s">
        <v>1229</v>
      </c>
      <c r="E395" s="74" t="s">
        <v>1224</v>
      </c>
      <c r="F395" s="74" t="s">
        <v>1225</v>
      </c>
      <c r="G395" s="74" t="s">
        <v>1226</v>
      </c>
    </row>
    <row r="396" spans="1:7" x14ac:dyDescent="0.2">
      <c r="A396" s="39">
        <v>2624</v>
      </c>
      <c r="B396" s="38" t="s">
        <v>1821</v>
      </c>
      <c r="C396" s="39" t="s">
        <v>1239</v>
      </c>
      <c r="D396" s="74" t="s">
        <v>1227</v>
      </c>
      <c r="E396" s="74" t="s">
        <v>1224</v>
      </c>
      <c r="F396" s="74" t="s">
        <v>1226</v>
      </c>
      <c r="G396" s="74" t="s">
        <v>1225</v>
      </c>
    </row>
    <row r="397" spans="1:7" x14ac:dyDescent="0.2">
      <c r="A397" s="39">
        <v>2625</v>
      </c>
      <c r="B397" s="38" t="s">
        <v>1822</v>
      </c>
      <c r="C397" s="39" t="s">
        <v>1239</v>
      </c>
      <c r="D397" s="74" t="s">
        <v>1227</v>
      </c>
      <c r="E397" s="74" t="s">
        <v>1224</v>
      </c>
      <c r="F397" s="74" t="s">
        <v>1226</v>
      </c>
      <c r="G397" s="74" t="s">
        <v>1225</v>
      </c>
    </row>
    <row r="398" spans="1:7" x14ac:dyDescent="0.2">
      <c r="A398" s="39">
        <v>2630</v>
      </c>
      <c r="B398" s="38" t="s">
        <v>1823</v>
      </c>
      <c r="C398" s="39" t="s">
        <v>1239</v>
      </c>
      <c r="D398" s="74" t="s">
        <v>1227</v>
      </c>
      <c r="E398" s="74" t="s">
        <v>1224</v>
      </c>
      <c r="F398" s="74" t="s">
        <v>1226</v>
      </c>
      <c r="G398" s="74" t="s">
        <v>1226</v>
      </c>
    </row>
    <row r="399" spans="1:7" x14ac:dyDescent="0.2">
      <c r="A399" s="39">
        <v>2631</v>
      </c>
      <c r="B399" s="38" t="s">
        <v>1824</v>
      </c>
      <c r="C399" s="39" t="s">
        <v>1239</v>
      </c>
      <c r="D399" s="74" t="s">
        <v>1227</v>
      </c>
      <c r="E399" s="74" t="s">
        <v>1224</v>
      </c>
      <c r="F399" s="74" t="s">
        <v>1226</v>
      </c>
      <c r="G399" s="74" t="s">
        <v>1225</v>
      </c>
    </row>
    <row r="400" spans="1:7" x14ac:dyDescent="0.2">
      <c r="A400" s="39">
        <v>2632</v>
      </c>
      <c r="B400" s="38" t="s">
        <v>1825</v>
      </c>
      <c r="C400" s="39" t="s">
        <v>1239</v>
      </c>
      <c r="D400" s="74" t="s">
        <v>1227</v>
      </c>
      <c r="E400" s="74" t="s">
        <v>1224</v>
      </c>
      <c r="F400" s="74" t="s">
        <v>1226</v>
      </c>
      <c r="G400" s="74" t="s">
        <v>1226</v>
      </c>
    </row>
    <row r="401" spans="1:7" x14ac:dyDescent="0.2">
      <c r="A401" s="39">
        <v>2640</v>
      </c>
      <c r="B401" s="38" t="s">
        <v>1826</v>
      </c>
      <c r="C401" s="39" t="s">
        <v>1239</v>
      </c>
      <c r="D401" s="74" t="s">
        <v>1227</v>
      </c>
      <c r="E401" s="74" t="s">
        <v>1224</v>
      </c>
      <c r="F401" s="74" t="s">
        <v>1226</v>
      </c>
      <c r="G401" s="74" t="s">
        <v>1226</v>
      </c>
    </row>
    <row r="402" spans="1:7" x14ac:dyDescent="0.2">
      <c r="A402" s="39">
        <v>2641</v>
      </c>
      <c r="B402" s="38" t="s">
        <v>1827</v>
      </c>
      <c r="C402" s="39" t="s">
        <v>1239</v>
      </c>
      <c r="D402" s="74" t="s">
        <v>1227</v>
      </c>
      <c r="E402" s="74" t="s">
        <v>1224</v>
      </c>
      <c r="F402" s="74" t="s">
        <v>1226</v>
      </c>
      <c r="G402" s="74" t="s">
        <v>1225</v>
      </c>
    </row>
    <row r="403" spans="1:7" x14ac:dyDescent="0.2">
      <c r="A403" s="39">
        <v>2642</v>
      </c>
      <c r="B403" s="38" t="s">
        <v>1828</v>
      </c>
      <c r="C403" s="39" t="s">
        <v>1239</v>
      </c>
      <c r="D403" s="74" t="s">
        <v>1227</v>
      </c>
      <c r="E403" s="74" t="s">
        <v>1224</v>
      </c>
      <c r="F403" s="74" t="s">
        <v>1226</v>
      </c>
      <c r="G403" s="74" t="s">
        <v>1225</v>
      </c>
    </row>
    <row r="404" spans="1:7" x14ac:dyDescent="0.2">
      <c r="A404" s="39">
        <v>2650</v>
      </c>
      <c r="B404" s="38" t="s">
        <v>1829</v>
      </c>
      <c r="C404" s="39" t="s">
        <v>1239</v>
      </c>
      <c r="D404" s="74" t="s">
        <v>1227</v>
      </c>
      <c r="E404" s="74" t="s">
        <v>1224</v>
      </c>
      <c r="F404" s="74" t="s">
        <v>1226</v>
      </c>
      <c r="G404" s="74" t="s">
        <v>1226</v>
      </c>
    </row>
    <row r="405" spans="1:7" x14ac:dyDescent="0.2">
      <c r="A405" s="39">
        <v>2651</v>
      </c>
      <c r="B405" s="38" t="s">
        <v>1830</v>
      </c>
      <c r="C405" s="39" t="s">
        <v>1239</v>
      </c>
      <c r="D405" s="74" t="s">
        <v>1227</v>
      </c>
      <c r="E405" s="74" t="s">
        <v>1224</v>
      </c>
      <c r="F405" s="74" t="s">
        <v>1226</v>
      </c>
      <c r="G405" s="74" t="s">
        <v>1226</v>
      </c>
    </row>
    <row r="406" spans="1:7" x14ac:dyDescent="0.2">
      <c r="A406" s="39">
        <v>2654</v>
      </c>
      <c r="B406" s="38" t="s">
        <v>1831</v>
      </c>
      <c r="C406" s="39" t="s">
        <v>1239</v>
      </c>
      <c r="D406" s="74" t="s">
        <v>1227</v>
      </c>
      <c r="E406" s="74" t="s">
        <v>1224</v>
      </c>
      <c r="F406" s="74" t="s">
        <v>1226</v>
      </c>
      <c r="G406" s="74" t="s">
        <v>1225</v>
      </c>
    </row>
    <row r="407" spans="1:7" x14ac:dyDescent="0.2">
      <c r="A407" s="39">
        <v>2661</v>
      </c>
      <c r="B407" s="38" t="s">
        <v>1832</v>
      </c>
      <c r="C407" s="39" t="s">
        <v>1239</v>
      </c>
      <c r="D407" s="74" t="s">
        <v>1227</v>
      </c>
      <c r="E407" s="74" t="s">
        <v>1224</v>
      </c>
      <c r="F407" s="74" t="s">
        <v>1226</v>
      </c>
      <c r="G407" s="74" t="s">
        <v>1225</v>
      </c>
    </row>
    <row r="408" spans="1:7" x14ac:dyDescent="0.2">
      <c r="A408" s="39">
        <v>2662</v>
      </c>
      <c r="B408" s="38" t="s">
        <v>1833</v>
      </c>
      <c r="C408" s="39" t="s">
        <v>1239</v>
      </c>
      <c r="D408" s="74" t="s">
        <v>1227</v>
      </c>
      <c r="E408" s="74" t="s">
        <v>1224</v>
      </c>
      <c r="F408" s="74" t="s">
        <v>1226</v>
      </c>
      <c r="G408" s="74" t="s">
        <v>1225</v>
      </c>
    </row>
    <row r="409" spans="1:7" x14ac:dyDescent="0.2">
      <c r="A409" s="39">
        <v>2663</v>
      </c>
      <c r="B409" s="38" t="s">
        <v>1834</v>
      </c>
      <c r="C409" s="39" t="s">
        <v>1239</v>
      </c>
      <c r="D409" s="74" t="s">
        <v>1227</v>
      </c>
      <c r="E409" s="74" t="s">
        <v>1224</v>
      </c>
      <c r="F409" s="74" t="s">
        <v>1226</v>
      </c>
      <c r="G409" s="74" t="s">
        <v>1225</v>
      </c>
    </row>
    <row r="410" spans="1:7" x14ac:dyDescent="0.2">
      <c r="A410" s="39">
        <v>2671</v>
      </c>
      <c r="B410" s="38" t="s">
        <v>1835</v>
      </c>
      <c r="C410" s="39" t="s">
        <v>1239</v>
      </c>
      <c r="D410" s="74" t="s">
        <v>1227</v>
      </c>
      <c r="E410" s="74" t="s">
        <v>1224</v>
      </c>
      <c r="F410" s="74" t="s">
        <v>1226</v>
      </c>
      <c r="G410" s="74" t="s">
        <v>1225</v>
      </c>
    </row>
    <row r="411" spans="1:7" x14ac:dyDescent="0.2">
      <c r="A411" s="39">
        <v>2673</v>
      </c>
      <c r="B411" s="38" t="s">
        <v>1836</v>
      </c>
      <c r="C411" s="39" t="s">
        <v>1239</v>
      </c>
      <c r="D411" s="74" t="s">
        <v>1227</v>
      </c>
      <c r="E411" s="74" t="s">
        <v>1224</v>
      </c>
      <c r="F411" s="74" t="s">
        <v>1226</v>
      </c>
      <c r="G411" s="74" t="s">
        <v>1225</v>
      </c>
    </row>
    <row r="412" spans="1:7" x14ac:dyDescent="0.2">
      <c r="A412" s="39">
        <v>2680</v>
      </c>
      <c r="B412" s="38" t="s">
        <v>1837</v>
      </c>
      <c r="C412" s="39" t="s">
        <v>1239</v>
      </c>
      <c r="D412" s="74" t="s">
        <v>1227</v>
      </c>
      <c r="E412" s="74" t="s">
        <v>1224</v>
      </c>
      <c r="F412" s="74" t="s">
        <v>1226</v>
      </c>
      <c r="G412" s="74" t="s">
        <v>1225</v>
      </c>
    </row>
    <row r="413" spans="1:7" x14ac:dyDescent="0.2">
      <c r="A413" s="39">
        <v>2700</v>
      </c>
      <c r="B413" s="38" t="s">
        <v>1204</v>
      </c>
      <c r="C413" s="39" t="s">
        <v>1239</v>
      </c>
      <c r="D413" s="74" t="s">
        <v>1227</v>
      </c>
      <c r="E413" s="74" t="s">
        <v>1224</v>
      </c>
      <c r="F413" s="74" t="s">
        <v>1226</v>
      </c>
      <c r="G413" s="74" t="s">
        <v>1226</v>
      </c>
    </row>
    <row r="414" spans="1:7" x14ac:dyDescent="0.2">
      <c r="A414" s="39">
        <v>2702</v>
      </c>
      <c r="B414" s="38" t="s">
        <v>1204</v>
      </c>
      <c r="C414" s="39" t="s">
        <v>1239</v>
      </c>
      <c r="D414" s="74" t="s">
        <v>1229</v>
      </c>
      <c r="E414" s="74" t="s">
        <v>1224</v>
      </c>
      <c r="F414" s="74" t="s">
        <v>1225</v>
      </c>
      <c r="G414" s="74" t="s">
        <v>1226</v>
      </c>
    </row>
    <row r="415" spans="1:7" x14ac:dyDescent="0.2">
      <c r="A415" s="39">
        <v>2704</v>
      </c>
      <c r="B415" s="38" t="s">
        <v>1204</v>
      </c>
      <c r="C415" s="39" t="s">
        <v>1239</v>
      </c>
      <c r="D415" s="74" t="s">
        <v>1229</v>
      </c>
      <c r="E415" s="74" t="s">
        <v>1224</v>
      </c>
      <c r="F415" s="74" t="s">
        <v>1225</v>
      </c>
      <c r="G415" s="74" t="s">
        <v>1226</v>
      </c>
    </row>
    <row r="416" spans="1:7" x14ac:dyDescent="0.2">
      <c r="A416" s="39">
        <v>2705</v>
      </c>
      <c r="B416" s="38" t="s">
        <v>1204</v>
      </c>
      <c r="C416" s="39" t="s">
        <v>1239</v>
      </c>
      <c r="D416" s="74" t="s">
        <v>1229</v>
      </c>
      <c r="E416" s="74" t="s">
        <v>1224</v>
      </c>
      <c r="F416" s="74" t="s">
        <v>1225</v>
      </c>
      <c r="G416" s="74" t="s">
        <v>1226</v>
      </c>
    </row>
    <row r="417" spans="1:7" x14ac:dyDescent="0.2">
      <c r="A417" s="39">
        <v>2706</v>
      </c>
      <c r="B417" s="38" t="s">
        <v>1204</v>
      </c>
      <c r="C417" s="39" t="s">
        <v>1239</v>
      </c>
      <c r="D417" s="74" t="s">
        <v>1223</v>
      </c>
      <c r="E417" s="74" t="s">
        <v>1224</v>
      </c>
      <c r="F417" s="74" t="s">
        <v>1225</v>
      </c>
      <c r="G417" s="74" t="s">
        <v>1226</v>
      </c>
    </row>
    <row r="418" spans="1:7" x14ac:dyDescent="0.2">
      <c r="A418" s="39">
        <v>2721</v>
      </c>
      <c r="B418" s="38" t="s">
        <v>1838</v>
      </c>
      <c r="C418" s="39" t="s">
        <v>1239</v>
      </c>
      <c r="D418" s="74" t="s">
        <v>1227</v>
      </c>
      <c r="E418" s="74" t="s">
        <v>1224</v>
      </c>
      <c r="F418" s="74" t="s">
        <v>1226</v>
      </c>
      <c r="G418" s="74" t="s">
        <v>1226</v>
      </c>
    </row>
    <row r="419" spans="1:7" x14ac:dyDescent="0.2">
      <c r="A419" s="39">
        <v>2722</v>
      </c>
      <c r="B419" s="38" t="s">
        <v>1839</v>
      </c>
      <c r="C419" s="39" t="s">
        <v>1239</v>
      </c>
      <c r="D419" s="74" t="s">
        <v>1227</v>
      </c>
      <c r="E419" s="74" t="s">
        <v>1224</v>
      </c>
      <c r="F419" s="74" t="s">
        <v>1226</v>
      </c>
      <c r="G419" s="74" t="s">
        <v>1226</v>
      </c>
    </row>
    <row r="420" spans="1:7" x14ac:dyDescent="0.2">
      <c r="A420" s="39">
        <v>2723</v>
      </c>
      <c r="B420" s="38" t="s">
        <v>1840</v>
      </c>
      <c r="C420" s="39" t="s">
        <v>1239</v>
      </c>
      <c r="D420" s="74" t="s">
        <v>1227</v>
      </c>
      <c r="E420" s="74" t="s">
        <v>1224</v>
      </c>
      <c r="F420" s="74" t="s">
        <v>1226</v>
      </c>
      <c r="G420" s="74" t="s">
        <v>1225</v>
      </c>
    </row>
    <row r="421" spans="1:7" x14ac:dyDescent="0.2">
      <c r="A421" s="39">
        <v>2724</v>
      </c>
      <c r="B421" s="38" t="s">
        <v>1841</v>
      </c>
      <c r="C421" s="39" t="s">
        <v>1239</v>
      </c>
      <c r="D421" s="74" t="s">
        <v>1227</v>
      </c>
      <c r="E421" s="74" t="s">
        <v>1224</v>
      </c>
      <c r="F421" s="74" t="s">
        <v>1226</v>
      </c>
      <c r="G421" s="74" t="s">
        <v>1225</v>
      </c>
    </row>
    <row r="422" spans="1:7" x14ac:dyDescent="0.2">
      <c r="A422" s="39">
        <v>2731</v>
      </c>
      <c r="B422" s="38" t="s">
        <v>1842</v>
      </c>
      <c r="C422" s="39" t="s">
        <v>1239</v>
      </c>
      <c r="D422" s="74" t="s">
        <v>1227</v>
      </c>
      <c r="E422" s="74" t="s">
        <v>1224</v>
      </c>
      <c r="F422" s="74" t="s">
        <v>1226</v>
      </c>
      <c r="G422" s="74" t="s">
        <v>1225</v>
      </c>
    </row>
    <row r="423" spans="1:7" x14ac:dyDescent="0.2">
      <c r="A423" s="39">
        <v>2732</v>
      </c>
      <c r="B423" s="38" t="s">
        <v>1843</v>
      </c>
      <c r="C423" s="39" t="s">
        <v>1239</v>
      </c>
      <c r="D423" s="74" t="s">
        <v>1227</v>
      </c>
      <c r="E423" s="74" t="s">
        <v>1224</v>
      </c>
      <c r="F423" s="74" t="s">
        <v>1226</v>
      </c>
      <c r="G423" s="74" t="s">
        <v>1226</v>
      </c>
    </row>
    <row r="424" spans="1:7" x14ac:dyDescent="0.2">
      <c r="A424" s="39">
        <v>2733</v>
      </c>
      <c r="B424" s="38" t="s">
        <v>1844</v>
      </c>
      <c r="C424" s="39" t="s">
        <v>1239</v>
      </c>
      <c r="D424" s="74" t="s">
        <v>1227</v>
      </c>
      <c r="E424" s="74" t="s">
        <v>1224</v>
      </c>
      <c r="F424" s="74" t="s">
        <v>1226</v>
      </c>
      <c r="G424" s="74" t="s">
        <v>1226</v>
      </c>
    </row>
    <row r="425" spans="1:7" x14ac:dyDescent="0.2">
      <c r="A425" s="39">
        <v>2734</v>
      </c>
      <c r="B425" s="38" t="s">
        <v>1845</v>
      </c>
      <c r="C425" s="39" t="s">
        <v>1239</v>
      </c>
      <c r="D425" s="74" t="s">
        <v>1227</v>
      </c>
      <c r="E425" s="74" t="s">
        <v>1224</v>
      </c>
      <c r="F425" s="74" t="s">
        <v>1226</v>
      </c>
      <c r="G425" s="74" t="s">
        <v>1226</v>
      </c>
    </row>
    <row r="426" spans="1:7" x14ac:dyDescent="0.2">
      <c r="A426" s="39">
        <v>2751</v>
      </c>
      <c r="B426" s="38" t="s">
        <v>1846</v>
      </c>
      <c r="C426" s="39" t="s">
        <v>1239</v>
      </c>
      <c r="D426" s="74" t="s">
        <v>1227</v>
      </c>
      <c r="E426" s="74" t="s">
        <v>1224</v>
      </c>
      <c r="F426" s="74" t="s">
        <v>1226</v>
      </c>
      <c r="G426" s="74" t="s">
        <v>1226</v>
      </c>
    </row>
    <row r="427" spans="1:7" x14ac:dyDescent="0.2">
      <c r="A427" s="39">
        <v>2752</v>
      </c>
      <c r="B427" s="38" t="s">
        <v>1847</v>
      </c>
      <c r="C427" s="39" t="s">
        <v>1239</v>
      </c>
      <c r="D427" s="74" t="s">
        <v>1227</v>
      </c>
      <c r="E427" s="74" t="s">
        <v>1224</v>
      </c>
      <c r="F427" s="74" t="s">
        <v>1226</v>
      </c>
      <c r="G427" s="74" t="s">
        <v>1226</v>
      </c>
    </row>
    <row r="428" spans="1:7" x14ac:dyDescent="0.2">
      <c r="A428" s="39">
        <v>2753</v>
      </c>
      <c r="B428" s="38" t="s">
        <v>1848</v>
      </c>
      <c r="C428" s="39" t="s">
        <v>1239</v>
      </c>
      <c r="D428" s="74" t="s">
        <v>1227</v>
      </c>
      <c r="E428" s="74" t="s">
        <v>1224</v>
      </c>
      <c r="F428" s="74" t="s">
        <v>1226</v>
      </c>
      <c r="G428" s="74" t="s">
        <v>1226</v>
      </c>
    </row>
    <row r="429" spans="1:7" x14ac:dyDescent="0.2">
      <c r="A429" s="39">
        <v>2754</v>
      </c>
      <c r="B429" s="38" t="s">
        <v>1849</v>
      </c>
      <c r="C429" s="39" t="s">
        <v>1239</v>
      </c>
      <c r="D429" s="74" t="s">
        <v>1227</v>
      </c>
      <c r="E429" s="74" t="s">
        <v>1224</v>
      </c>
      <c r="F429" s="74" t="s">
        <v>1226</v>
      </c>
      <c r="G429" s="74" t="s">
        <v>1226</v>
      </c>
    </row>
    <row r="430" spans="1:7" x14ac:dyDescent="0.2">
      <c r="A430" s="39">
        <v>2755</v>
      </c>
      <c r="B430" s="38" t="s">
        <v>1850</v>
      </c>
      <c r="C430" s="39" t="s">
        <v>1239</v>
      </c>
      <c r="D430" s="74" t="s">
        <v>1227</v>
      </c>
      <c r="E430" s="74" t="s">
        <v>1224</v>
      </c>
      <c r="F430" s="74" t="s">
        <v>1226</v>
      </c>
      <c r="G430" s="74" t="s">
        <v>1225</v>
      </c>
    </row>
    <row r="431" spans="1:7" x14ac:dyDescent="0.2">
      <c r="A431" s="39">
        <v>2761</v>
      </c>
      <c r="B431" s="38" t="s">
        <v>1851</v>
      </c>
      <c r="C431" s="39" t="s">
        <v>1239</v>
      </c>
      <c r="D431" s="74" t="s">
        <v>1227</v>
      </c>
      <c r="E431" s="74" t="s">
        <v>1224</v>
      </c>
      <c r="F431" s="74" t="s">
        <v>1226</v>
      </c>
      <c r="G431" s="74" t="s">
        <v>1225</v>
      </c>
    </row>
    <row r="432" spans="1:7" x14ac:dyDescent="0.2">
      <c r="A432" s="39">
        <v>2763</v>
      </c>
      <c r="B432" s="38" t="s">
        <v>1852</v>
      </c>
      <c r="C432" s="39" t="s">
        <v>1239</v>
      </c>
      <c r="D432" s="74" t="s">
        <v>1227</v>
      </c>
      <c r="E432" s="74" t="s">
        <v>1224</v>
      </c>
      <c r="F432" s="74" t="s">
        <v>1226</v>
      </c>
      <c r="G432" s="74" t="s">
        <v>1226</v>
      </c>
    </row>
    <row r="433" spans="1:7" x14ac:dyDescent="0.2">
      <c r="A433" s="39">
        <v>2770</v>
      </c>
      <c r="B433" s="38" t="s">
        <v>1853</v>
      </c>
      <c r="C433" s="39" t="s">
        <v>1239</v>
      </c>
      <c r="D433" s="74" t="s">
        <v>1227</v>
      </c>
      <c r="E433" s="74" t="s">
        <v>1224</v>
      </c>
      <c r="F433" s="74" t="s">
        <v>1226</v>
      </c>
      <c r="G433" s="74" t="s">
        <v>1225</v>
      </c>
    </row>
    <row r="434" spans="1:7" x14ac:dyDescent="0.2">
      <c r="A434" s="39">
        <v>2801</v>
      </c>
      <c r="B434" s="38" t="s">
        <v>1854</v>
      </c>
      <c r="C434" s="39" t="s">
        <v>1239</v>
      </c>
      <c r="D434" s="74" t="s">
        <v>1227</v>
      </c>
      <c r="E434" s="74" t="s">
        <v>1224</v>
      </c>
      <c r="F434" s="74" t="s">
        <v>1226</v>
      </c>
      <c r="G434" s="74" t="s">
        <v>1225</v>
      </c>
    </row>
    <row r="435" spans="1:7" x14ac:dyDescent="0.2">
      <c r="A435" s="39">
        <v>2802</v>
      </c>
      <c r="B435" s="38" t="s">
        <v>1855</v>
      </c>
      <c r="C435" s="39" t="s">
        <v>1239</v>
      </c>
      <c r="D435" s="74" t="s">
        <v>1227</v>
      </c>
      <c r="E435" s="74" t="s">
        <v>1224</v>
      </c>
      <c r="F435" s="74" t="s">
        <v>1226</v>
      </c>
      <c r="G435" s="74" t="s">
        <v>1225</v>
      </c>
    </row>
    <row r="436" spans="1:7" x14ac:dyDescent="0.2">
      <c r="A436" s="39">
        <v>2803</v>
      </c>
      <c r="B436" s="38" t="s">
        <v>1856</v>
      </c>
      <c r="C436" s="39" t="s">
        <v>1239</v>
      </c>
      <c r="D436" s="74" t="s">
        <v>1227</v>
      </c>
      <c r="E436" s="74" t="s">
        <v>1224</v>
      </c>
      <c r="F436" s="74" t="s">
        <v>1226</v>
      </c>
      <c r="G436" s="74" t="s">
        <v>1225</v>
      </c>
    </row>
    <row r="437" spans="1:7" x14ac:dyDescent="0.2">
      <c r="A437" s="39">
        <v>2811</v>
      </c>
      <c r="B437" s="38" t="s">
        <v>1857</v>
      </c>
      <c r="C437" s="39" t="s">
        <v>1239</v>
      </c>
      <c r="D437" s="74" t="s">
        <v>1227</v>
      </c>
      <c r="E437" s="74" t="s">
        <v>1224</v>
      </c>
      <c r="F437" s="74" t="s">
        <v>1226</v>
      </c>
      <c r="G437" s="74" t="s">
        <v>1226</v>
      </c>
    </row>
    <row r="438" spans="1:7" x14ac:dyDescent="0.2">
      <c r="A438" s="39">
        <v>2812</v>
      </c>
      <c r="B438" s="38" t="s">
        <v>1858</v>
      </c>
      <c r="C438" s="39" t="s">
        <v>1239</v>
      </c>
      <c r="D438" s="74" t="s">
        <v>1227</v>
      </c>
      <c r="E438" s="74" t="s">
        <v>1224</v>
      </c>
      <c r="F438" s="74" t="s">
        <v>1226</v>
      </c>
      <c r="G438" s="74" t="s">
        <v>1225</v>
      </c>
    </row>
    <row r="439" spans="1:7" x14ac:dyDescent="0.2">
      <c r="A439" s="39">
        <v>2813</v>
      </c>
      <c r="B439" s="38" t="s">
        <v>1859</v>
      </c>
      <c r="C439" s="39" t="s">
        <v>1239</v>
      </c>
      <c r="D439" s="74" t="s">
        <v>1227</v>
      </c>
      <c r="E439" s="74" t="s">
        <v>1224</v>
      </c>
      <c r="F439" s="74" t="s">
        <v>1226</v>
      </c>
      <c r="G439" s="74" t="s">
        <v>1225</v>
      </c>
    </row>
    <row r="440" spans="1:7" x14ac:dyDescent="0.2">
      <c r="A440" s="39">
        <v>2821</v>
      </c>
      <c r="B440" s="38" t="s">
        <v>1860</v>
      </c>
      <c r="C440" s="39" t="s">
        <v>1239</v>
      </c>
      <c r="D440" s="74" t="s">
        <v>1227</v>
      </c>
      <c r="E440" s="74" t="s">
        <v>1224</v>
      </c>
      <c r="F440" s="74" t="s">
        <v>1226</v>
      </c>
      <c r="G440" s="74" t="s">
        <v>1226</v>
      </c>
    </row>
    <row r="441" spans="1:7" x14ac:dyDescent="0.2">
      <c r="A441" s="39">
        <v>2822</v>
      </c>
      <c r="B441" s="38" t="s">
        <v>1861</v>
      </c>
      <c r="C441" s="39" t="s">
        <v>1239</v>
      </c>
      <c r="D441" s="74" t="s">
        <v>1227</v>
      </c>
      <c r="E441" s="74" t="s">
        <v>1224</v>
      </c>
      <c r="F441" s="74" t="s">
        <v>1226</v>
      </c>
      <c r="G441" s="74" t="s">
        <v>1226</v>
      </c>
    </row>
    <row r="442" spans="1:7" x14ac:dyDescent="0.2">
      <c r="A442" s="39">
        <v>2823</v>
      </c>
      <c r="B442" s="38" t="s">
        <v>1862</v>
      </c>
      <c r="C442" s="39" t="s">
        <v>1239</v>
      </c>
      <c r="D442" s="74" t="s">
        <v>1227</v>
      </c>
      <c r="E442" s="74" t="s">
        <v>1224</v>
      </c>
      <c r="F442" s="74" t="s">
        <v>1226</v>
      </c>
      <c r="G442" s="74" t="s">
        <v>1226</v>
      </c>
    </row>
    <row r="443" spans="1:7" x14ac:dyDescent="0.2">
      <c r="A443" s="39">
        <v>2824</v>
      </c>
      <c r="B443" s="38" t="s">
        <v>1863</v>
      </c>
      <c r="C443" s="39" t="s">
        <v>1239</v>
      </c>
      <c r="D443" s="74" t="s">
        <v>1227</v>
      </c>
      <c r="E443" s="74" t="s">
        <v>1224</v>
      </c>
      <c r="F443" s="74" t="s">
        <v>1226</v>
      </c>
      <c r="G443" s="74" t="s">
        <v>1225</v>
      </c>
    </row>
    <row r="444" spans="1:7" x14ac:dyDescent="0.2">
      <c r="A444" s="39">
        <v>2831</v>
      </c>
      <c r="B444" s="38" t="s">
        <v>1864</v>
      </c>
      <c r="C444" s="39" t="s">
        <v>1239</v>
      </c>
      <c r="D444" s="74" t="s">
        <v>1227</v>
      </c>
      <c r="E444" s="74" t="s">
        <v>1224</v>
      </c>
      <c r="F444" s="74" t="s">
        <v>1226</v>
      </c>
      <c r="G444" s="74" t="s">
        <v>1226</v>
      </c>
    </row>
    <row r="445" spans="1:7" x14ac:dyDescent="0.2">
      <c r="A445" s="39">
        <v>2832</v>
      </c>
      <c r="B445" s="38" t="s">
        <v>1865</v>
      </c>
      <c r="C445" s="39" t="s">
        <v>1239</v>
      </c>
      <c r="D445" s="74" t="s">
        <v>1227</v>
      </c>
      <c r="E445" s="74" t="s">
        <v>1224</v>
      </c>
      <c r="F445" s="74" t="s">
        <v>1226</v>
      </c>
      <c r="G445" s="74" t="s">
        <v>1225</v>
      </c>
    </row>
    <row r="446" spans="1:7" x14ac:dyDescent="0.2">
      <c r="A446" s="39">
        <v>2833</v>
      </c>
      <c r="B446" s="38" t="s">
        <v>1866</v>
      </c>
      <c r="C446" s="39" t="s">
        <v>1239</v>
      </c>
      <c r="D446" s="74" t="s">
        <v>1227</v>
      </c>
      <c r="E446" s="74" t="s">
        <v>1224</v>
      </c>
      <c r="F446" s="74" t="s">
        <v>1226</v>
      </c>
      <c r="G446" s="74" t="s">
        <v>1225</v>
      </c>
    </row>
    <row r="447" spans="1:7" x14ac:dyDescent="0.2">
      <c r="A447" s="39">
        <v>2840</v>
      </c>
      <c r="B447" s="38" t="s">
        <v>1867</v>
      </c>
      <c r="C447" s="39" t="s">
        <v>1239</v>
      </c>
      <c r="D447" s="74" t="s">
        <v>1227</v>
      </c>
      <c r="E447" s="74" t="s">
        <v>1224</v>
      </c>
      <c r="F447" s="74" t="s">
        <v>1226</v>
      </c>
      <c r="G447" s="74" t="s">
        <v>1226</v>
      </c>
    </row>
    <row r="448" spans="1:7" x14ac:dyDescent="0.2">
      <c r="A448" s="39">
        <v>2842</v>
      </c>
      <c r="B448" s="38" t="s">
        <v>1868</v>
      </c>
      <c r="C448" s="39" t="s">
        <v>1239</v>
      </c>
      <c r="D448" s="74" t="s">
        <v>1227</v>
      </c>
      <c r="E448" s="74" t="s">
        <v>1224</v>
      </c>
      <c r="F448" s="74" t="s">
        <v>1226</v>
      </c>
      <c r="G448" s="74" t="s">
        <v>1225</v>
      </c>
    </row>
    <row r="449" spans="1:7" x14ac:dyDescent="0.2">
      <c r="A449" s="39">
        <v>2851</v>
      </c>
      <c r="B449" s="38" t="s">
        <v>1869</v>
      </c>
      <c r="C449" s="39" t="s">
        <v>1239</v>
      </c>
      <c r="D449" s="74" t="s">
        <v>1227</v>
      </c>
      <c r="E449" s="74" t="s">
        <v>1224</v>
      </c>
      <c r="F449" s="74" t="s">
        <v>1226</v>
      </c>
      <c r="G449" s="74" t="s">
        <v>1226</v>
      </c>
    </row>
    <row r="450" spans="1:7" x14ac:dyDescent="0.2">
      <c r="A450" s="39">
        <v>2852</v>
      </c>
      <c r="B450" s="38" t="s">
        <v>1870</v>
      </c>
      <c r="C450" s="39" t="s">
        <v>1239</v>
      </c>
      <c r="D450" s="74" t="s">
        <v>1227</v>
      </c>
      <c r="E450" s="74" t="s">
        <v>1224</v>
      </c>
      <c r="F450" s="74" t="s">
        <v>1226</v>
      </c>
      <c r="G450" s="74" t="s">
        <v>1225</v>
      </c>
    </row>
    <row r="451" spans="1:7" x14ac:dyDescent="0.2">
      <c r="A451" s="39">
        <v>2853</v>
      </c>
      <c r="B451" s="38" t="s">
        <v>1871</v>
      </c>
      <c r="C451" s="39" t="s">
        <v>1239</v>
      </c>
      <c r="D451" s="74" t="s">
        <v>1227</v>
      </c>
      <c r="E451" s="74" t="s">
        <v>1224</v>
      </c>
      <c r="F451" s="74" t="s">
        <v>1226</v>
      </c>
      <c r="G451" s="74" t="s">
        <v>1225</v>
      </c>
    </row>
    <row r="452" spans="1:7" x14ac:dyDescent="0.2">
      <c r="A452" s="39">
        <v>2860</v>
      </c>
      <c r="B452" s="38" t="s">
        <v>1872</v>
      </c>
      <c r="C452" s="39" t="s">
        <v>1239</v>
      </c>
      <c r="D452" s="74" t="s">
        <v>1227</v>
      </c>
      <c r="E452" s="74" t="s">
        <v>1224</v>
      </c>
      <c r="F452" s="74" t="s">
        <v>1226</v>
      </c>
      <c r="G452" s="74" t="s">
        <v>1226</v>
      </c>
    </row>
    <row r="453" spans="1:7" x14ac:dyDescent="0.2">
      <c r="A453" s="39">
        <v>2870</v>
      </c>
      <c r="B453" s="38" t="s">
        <v>1873</v>
      </c>
      <c r="C453" s="39" t="s">
        <v>1239</v>
      </c>
      <c r="D453" s="74" t="s">
        <v>1227</v>
      </c>
      <c r="E453" s="74" t="s">
        <v>1224</v>
      </c>
      <c r="F453" s="74" t="s">
        <v>1226</v>
      </c>
      <c r="G453" s="74" t="s">
        <v>1226</v>
      </c>
    </row>
    <row r="454" spans="1:7" x14ac:dyDescent="0.2">
      <c r="A454" s="39">
        <v>2871</v>
      </c>
      <c r="B454" s="38" t="s">
        <v>1874</v>
      </c>
      <c r="C454" s="39" t="s">
        <v>1239</v>
      </c>
      <c r="D454" s="74" t="s">
        <v>1227</v>
      </c>
      <c r="E454" s="74" t="s">
        <v>1224</v>
      </c>
      <c r="F454" s="74" t="s">
        <v>1226</v>
      </c>
      <c r="G454" s="74" t="s">
        <v>1225</v>
      </c>
    </row>
    <row r="455" spans="1:7" x14ac:dyDescent="0.2">
      <c r="A455" s="39">
        <v>2872</v>
      </c>
      <c r="B455" s="38" t="s">
        <v>214</v>
      </c>
      <c r="C455" s="39" t="s">
        <v>1239</v>
      </c>
      <c r="D455" s="74" t="s">
        <v>1227</v>
      </c>
      <c r="E455" s="74" t="s">
        <v>1224</v>
      </c>
      <c r="F455" s="74" t="s">
        <v>1226</v>
      </c>
      <c r="G455" s="74" t="s">
        <v>1225</v>
      </c>
    </row>
    <row r="456" spans="1:7" x14ac:dyDescent="0.2">
      <c r="A456" s="39">
        <v>2873</v>
      </c>
      <c r="B456" s="38" t="s">
        <v>1875</v>
      </c>
      <c r="C456" s="39" t="s">
        <v>1239</v>
      </c>
      <c r="D456" s="74" t="s">
        <v>1227</v>
      </c>
      <c r="E456" s="74" t="s">
        <v>1224</v>
      </c>
      <c r="F456" s="74" t="s">
        <v>1226</v>
      </c>
      <c r="G456" s="74" t="s">
        <v>1225</v>
      </c>
    </row>
    <row r="457" spans="1:7" x14ac:dyDescent="0.2">
      <c r="A457" s="39">
        <v>2880</v>
      </c>
      <c r="B457" s="38" t="s">
        <v>1876</v>
      </c>
      <c r="C457" s="39" t="s">
        <v>1239</v>
      </c>
      <c r="D457" s="74" t="s">
        <v>1227</v>
      </c>
      <c r="E457" s="74" t="s">
        <v>1224</v>
      </c>
      <c r="F457" s="74" t="s">
        <v>1226</v>
      </c>
      <c r="G457" s="74" t="s">
        <v>1226</v>
      </c>
    </row>
    <row r="458" spans="1:7" x14ac:dyDescent="0.2">
      <c r="A458" s="39">
        <v>2881</v>
      </c>
      <c r="B458" s="38" t="s">
        <v>1877</v>
      </c>
      <c r="C458" s="39" t="s">
        <v>1239</v>
      </c>
      <c r="D458" s="74" t="s">
        <v>1227</v>
      </c>
      <c r="E458" s="74" t="s">
        <v>1224</v>
      </c>
      <c r="F458" s="74" t="s">
        <v>1226</v>
      </c>
      <c r="G458" s="74" t="s">
        <v>1225</v>
      </c>
    </row>
    <row r="459" spans="1:7" x14ac:dyDescent="0.2">
      <c r="A459" s="39">
        <v>3001</v>
      </c>
      <c r="B459" s="38" t="s">
        <v>1878</v>
      </c>
      <c r="C459" s="39" t="s">
        <v>1239</v>
      </c>
      <c r="D459" s="74" t="s">
        <v>1227</v>
      </c>
      <c r="E459" s="74" t="s">
        <v>1224</v>
      </c>
      <c r="F459" s="74" t="s">
        <v>1226</v>
      </c>
      <c r="G459" s="74" t="s">
        <v>1226</v>
      </c>
    </row>
    <row r="460" spans="1:7" x14ac:dyDescent="0.2">
      <c r="A460" s="39">
        <v>3002</v>
      </c>
      <c r="B460" s="38" t="s">
        <v>1879</v>
      </c>
      <c r="C460" s="39" t="s">
        <v>1239</v>
      </c>
      <c r="D460" s="74" t="s">
        <v>1227</v>
      </c>
      <c r="E460" s="74" t="s">
        <v>1224</v>
      </c>
      <c r="F460" s="74" t="s">
        <v>1226</v>
      </c>
      <c r="G460" s="74" t="s">
        <v>1226</v>
      </c>
    </row>
    <row r="461" spans="1:7" x14ac:dyDescent="0.2">
      <c r="A461" s="39">
        <v>3003</v>
      </c>
      <c r="B461" s="38" t="s">
        <v>1880</v>
      </c>
      <c r="C461" s="39" t="s">
        <v>1239</v>
      </c>
      <c r="D461" s="74" t="s">
        <v>1227</v>
      </c>
      <c r="E461" s="74" t="s">
        <v>1224</v>
      </c>
      <c r="F461" s="74" t="s">
        <v>1226</v>
      </c>
      <c r="G461" s="74" t="s">
        <v>1226</v>
      </c>
    </row>
    <row r="462" spans="1:7" x14ac:dyDescent="0.2">
      <c r="A462" s="39">
        <v>3004</v>
      </c>
      <c r="B462" s="38" t="s">
        <v>1881</v>
      </c>
      <c r="C462" s="39" t="s">
        <v>1239</v>
      </c>
      <c r="D462" s="74" t="s">
        <v>1227</v>
      </c>
      <c r="E462" s="74" t="s">
        <v>1224</v>
      </c>
      <c r="F462" s="74" t="s">
        <v>1226</v>
      </c>
      <c r="G462" s="74" t="s">
        <v>1225</v>
      </c>
    </row>
    <row r="463" spans="1:7" x14ac:dyDescent="0.2">
      <c r="A463" s="39">
        <v>3011</v>
      </c>
      <c r="B463" s="38" t="s">
        <v>1882</v>
      </c>
      <c r="C463" s="39" t="s">
        <v>1239</v>
      </c>
      <c r="D463" s="74" t="s">
        <v>1227</v>
      </c>
      <c r="E463" s="74" t="s">
        <v>1224</v>
      </c>
      <c r="F463" s="74" t="s">
        <v>1226</v>
      </c>
      <c r="G463" s="74" t="s">
        <v>1226</v>
      </c>
    </row>
    <row r="464" spans="1:7" x14ac:dyDescent="0.2">
      <c r="A464" s="39">
        <v>3012</v>
      </c>
      <c r="B464" s="38" t="s">
        <v>1883</v>
      </c>
      <c r="C464" s="39" t="s">
        <v>1239</v>
      </c>
      <c r="D464" s="74" t="s">
        <v>1227</v>
      </c>
      <c r="E464" s="74" t="s">
        <v>1224</v>
      </c>
      <c r="F464" s="74" t="s">
        <v>1226</v>
      </c>
      <c r="G464" s="74" t="s">
        <v>1226</v>
      </c>
    </row>
    <row r="465" spans="1:7" x14ac:dyDescent="0.2">
      <c r="A465" s="39">
        <v>3013</v>
      </c>
      <c r="B465" s="38" t="s">
        <v>1884</v>
      </c>
      <c r="C465" s="39" t="s">
        <v>1239</v>
      </c>
      <c r="D465" s="74" t="s">
        <v>1227</v>
      </c>
      <c r="E465" s="74" t="s">
        <v>1224</v>
      </c>
      <c r="F465" s="74" t="s">
        <v>1226</v>
      </c>
      <c r="G465" s="74" t="s">
        <v>1226</v>
      </c>
    </row>
    <row r="466" spans="1:7" x14ac:dyDescent="0.2">
      <c r="A466" s="39">
        <v>3021</v>
      </c>
      <c r="B466" s="38" t="s">
        <v>1885</v>
      </c>
      <c r="C466" s="39" t="s">
        <v>1239</v>
      </c>
      <c r="D466" s="74" t="s">
        <v>1227</v>
      </c>
      <c r="E466" s="74" t="s">
        <v>1224</v>
      </c>
      <c r="F466" s="74" t="s">
        <v>1226</v>
      </c>
      <c r="G466" s="74" t="s">
        <v>1226</v>
      </c>
    </row>
    <row r="467" spans="1:7" x14ac:dyDescent="0.2">
      <c r="A467" s="39">
        <v>3031</v>
      </c>
      <c r="B467" s="38" t="s">
        <v>1886</v>
      </c>
      <c r="C467" s="39" t="s">
        <v>1239</v>
      </c>
      <c r="D467" s="74" t="s">
        <v>1227</v>
      </c>
      <c r="E467" s="74" t="s">
        <v>1224</v>
      </c>
      <c r="F467" s="74" t="s">
        <v>1226</v>
      </c>
      <c r="G467" s="74" t="s">
        <v>1225</v>
      </c>
    </row>
    <row r="468" spans="1:7" x14ac:dyDescent="0.2">
      <c r="A468" s="39">
        <v>3032</v>
      </c>
      <c r="B468" s="38" t="s">
        <v>1887</v>
      </c>
      <c r="C468" s="39" t="s">
        <v>1239</v>
      </c>
      <c r="D468" s="74" t="s">
        <v>1227</v>
      </c>
      <c r="E468" s="74" t="s">
        <v>1224</v>
      </c>
      <c r="F468" s="74" t="s">
        <v>1226</v>
      </c>
      <c r="G468" s="74" t="s">
        <v>1226</v>
      </c>
    </row>
    <row r="469" spans="1:7" x14ac:dyDescent="0.2">
      <c r="A469" s="39">
        <v>3033</v>
      </c>
      <c r="B469" s="38" t="s">
        <v>1888</v>
      </c>
      <c r="C469" s="39" t="s">
        <v>1239</v>
      </c>
      <c r="D469" s="74" t="s">
        <v>1227</v>
      </c>
      <c r="E469" s="74" t="s">
        <v>1224</v>
      </c>
      <c r="F469" s="74" t="s">
        <v>1226</v>
      </c>
      <c r="G469" s="74" t="s">
        <v>1226</v>
      </c>
    </row>
    <row r="470" spans="1:7" x14ac:dyDescent="0.2">
      <c r="A470" s="39">
        <v>3034</v>
      </c>
      <c r="B470" s="38" t="s">
        <v>1889</v>
      </c>
      <c r="C470" s="39" t="s">
        <v>1239</v>
      </c>
      <c r="D470" s="74" t="s">
        <v>1227</v>
      </c>
      <c r="E470" s="74" t="s">
        <v>1224</v>
      </c>
      <c r="F470" s="74" t="s">
        <v>1226</v>
      </c>
      <c r="G470" s="74" t="s">
        <v>1226</v>
      </c>
    </row>
    <row r="471" spans="1:7" x14ac:dyDescent="0.2">
      <c r="A471" s="39">
        <v>3040</v>
      </c>
      <c r="B471" s="38" t="s">
        <v>1890</v>
      </c>
      <c r="C471" s="39" t="s">
        <v>1239</v>
      </c>
      <c r="D471" s="74" t="s">
        <v>1227</v>
      </c>
      <c r="E471" s="74" t="s">
        <v>1224</v>
      </c>
      <c r="F471" s="74" t="s">
        <v>1226</v>
      </c>
      <c r="G471" s="74" t="s">
        <v>1226</v>
      </c>
    </row>
    <row r="472" spans="1:7" x14ac:dyDescent="0.2">
      <c r="A472" s="39">
        <v>3041</v>
      </c>
      <c r="B472" s="38" t="s">
        <v>1891</v>
      </c>
      <c r="C472" s="39" t="s">
        <v>1239</v>
      </c>
      <c r="D472" s="74" t="s">
        <v>1227</v>
      </c>
      <c r="E472" s="74" t="s">
        <v>1224</v>
      </c>
      <c r="F472" s="74" t="s">
        <v>1226</v>
      </c>
      <c r="G472" s="74" t="s">
        <v>1225</v>
      </c>
    </row>
    <row r="473" spans="1:7" x14ac:dyDescent="0.2">
      <c r="A473" s="39">
        <v>3042</v>
      </c>
      <c r="B473" s="38" t="s">
        <v>1892</v>
      </c>
      <c r="C473" s="39" t="s">
        <v>1239</v>
      </c>
      <c r="D473" s="74" t="s">
        <v>1227</v>
      </c>
      <c r="E473" s="74" t="s">
        <v>1224</v>
      </c>
      <c r="F473" s="74" t="s">
        <v>1226</v>
      </c>
      <c r="G473" s="74" t="s">
        <v>1225</v>
      </c>
    </row>
    <row r="474" spans="1:7" x14ac:dyDescent="0.2">
      <c r="A474" s="39">
        <v>3051</v>
      </c>
      <c r="B474" s="38" t="s">
        <v>1893</v>
      </c>
      <c r="C474" s="39" t="s">
        <v>1239</v>
      </c>
      <c r="D474" s="74" t="s">
        <v>1227</v>
      </c>
      <c r="E474" s="74" t="s">
        <v>1224</v>
      </c>
      <c r="F474" s="74" t="s">
        <v>1226</v>
      </c>
      <c r="G474" s="74" t="s">
        <v>1225</v>
      </c>
    </row>
    <row r="475" spans="1:7" x14ac:dyDescent="0.2">
      <c r="A475" s="39">
        <v>3052</v>
      </c>
      <c r="B475" s="38" t="s">
        <v>1894</v>
      </c>
      <c r="C475" s="39" t="s">
        <v>1239</v>
      </c>
      <c r="D475" s="74" t="s">
        <v>1227</v>
      </c>
      <c r="E475" s="74" t="s">
        <v>1224</v>
      </c>
      <c r="F475" s="74" t="s">
        <v>1226</v>
      </c>
      <c r="G475" s="74" t="s">
        <v>1225</v>
      </c>
    </row>
    <row r="476" spans="1:7" x14ac:dyDescent="0.2">
      <c r="A476" s="39">
        <v>3053</v>
      </c>
      <c r="B476" s="38" t="s">
        <v>1895</v>
      </c>
      <c r="C476" s="39" t="s">
        <v>1239</v>
      </c>
      <c r="D476" s="74" t="s">
        <v>1227</v>
      </c>
      <c r="E476" s="74" t="s">
        <v>1224</v>
      </c>
      <c r="F476" s="74" t="s">
        <v>1226</v>
      </c>
      <c r="G476" s="74" t="s">
        <v>1225</v>
      </c>
    </row>
    <row r="477" spans="1:7" x14ac:dyDescent="0.2">
      <c r="A477" s="39">
        <v>3061</v>
      </c>
      <c r="B477" s="38" t="s">
        <v>1896</v>
      </c>
      <c r="C477" s="39" t="s">
        <v>1239</v>
      </c>
      <c r="D477" s="74" t="s">
        <v>1227</v>
      </c>
      <c r="E477" s="74" t="s">
        <v>1224</v>
      </c>
      <c r="F477" s="74" t="s">
        <v>1226</v>
      </c>
      <c r="G477" s="74" t="s">
        <v>1225</v>
      </c>
    </row>
    <row r="478" spans="1:7" x14ac:dyDescent="0.2">
      <c r="A478" s="39">
        <v>3062</v>
      </c>
      <c r="B478" s="38" t="s">
        <v>1897</v>
      </c>
      <c r="C478" s="39" t="s">
        <v>1239</v>
      </c>
      <c r="D478" s="74" t="s">
        <v>1227</v>
      </c>
      <c r="E478" s="74" t="s">
        <v>1224</v>
      </c>
      <c r="F478" s="74" t="s">
        <v>1226</v>
      </c>
      <c r="G478" s="74" t="s">
        <v>1226</v>
      </c>
    </row>
    <row r="479" spans="1:7" x14ac:dyDescent="0.2">
      <c r="A479" s="39">
        <v>3071</v>
      </c>
      <c r="B479" s="38" t="s">
        <v>1898</v>
      </c>
      <c r="C479" s="39" t="s">
        <v>1239</v>
      </c>
      <c r="D479" s="74" t="s">
        <v>1227</v>
      </c>
      <c r="E479" s="74" t="s">
        <v>1224</v>
      </c>
      <c r="F479" s="74" t="s">
        <v>1226</v>
      </c>
      <c r="G479" s="74" t="s">
        <v>1226</v>
      </c>
    </row>
    <row r="480" spans="1:7" x14ac:dyDescent="0.2">
      <c r="A480" s="39">
        <v>3072</v>
      </c>
      <c r="B480" s="38" t="s">
        <v>1899</v>
      </c>
      <c r="C480" s="39" t="s">
        <v>1239</v>
      </c>
      <c r="D480" s="74" t="s">
        <v>1227</v>
      </c>
      <c r="E480" s="74" t="s">
        <v>1224</v>
      </c>
      <c r="F480" s="74" t="s">
        <v>1226</v>
      </c>
      <c r="G480" s="74" t="s">
        <v>1225</v>
      </c>
    </row>
    <row r="481" spans="1:7" x14ac:dyDescent="0.2">
      <c r="A481" s="39">
        <v>3073</v>
      </c>
      <c r="B481" s="38" t="s">
        <v>1900</v>
      </c>
      <c r="C481" s="39" t="s">
        <v>1239</v>
      </c>
      <c r="D481" s="74" t="s">
        <v>1227</v>
      </c>
      <c r="E481" s="74" t="s">
        <v>1224</v>
      </c>
      <c r="F481" s="74" t="s">
        <v>1226</v>
      </c>
      <c r="G481" s="74" t="s">
        <v>1226</v>
      </c>
    </row>
    <row r="482" spans="1:7" x14ac:dyDescent="0.2">
      <c r="A482" s="39">
        <v>3074</v>
      </c>
      <c r="B482" s="38" t="s">
        <v>1901</v>
      </c>
      <c r="C482" s="39" t="s">
        <v>1239</v>
      </c>
      <c r="D482" s="74" t="s">
        <v>1227</v>
      </c>
      <c r="E482" s="74" t="s">
        <v>1224</v>
      </c>
      <c r="F482" s="74" t="s">
        <v>1226</v>
      </c>
      <c r="G482" s="74" t="s">
        <v>1225</v>
      </c>
    </row>
    <row r="483" spans="1:7" x14ac:dyDescent="0.2">
      <c r="A483" s="39">
        <v>3100</v>
      </c>
      <c r="B483" s="38" t="s">
        <v>258</v>
      </c>
      <c r="C483" s="39" t="s">
        <v>1239</v>
      </c>
      <c r="D483" s="74" t="s">
        <v>1227</v>
      </c>
      <c r="E483" s="74" t="s">
        <v>1224</v>
      </c>
      <c r="F483" s="74" t="s">
        <v>1226</v>
      </c>
      <c r="G483" s="74" t="s">
        <v>1226</v>
      </c>
    </row>
    <row r="484" spans="1:7" x14ac:dyDescent="0.2">
      <c r="A484" s="39">
        <v>3101</v>
      </c>
      <c r="B484" s="38" t="s">
        <v>1902</v>
      </c>
      <c r="C484" s="39" t="s">
        <v>1239</v>
      </c>
      <c r="D484" s="74" t="s">
        <v>1229</v>
      </c>
      <c r="E484" s="74" t="s">
        <v>1224</v>
      </c>
      <c r="F484" s="74" t="s">
        <v>1225</v>
      </c>
      <c r="G484" s="74" t="s">
        <v>1226</v>
      </c>
    </row>
    <row r="485" spans="1:7" x14ac:dyDescent="0.2">
      <c r="A485" s="39">
        <v>3102</v>
      </c>
      <c r="B485" s="38" t="s">
        <v>258</v>
      </c>
      <c r="C485" s="39" t="s">
        <v>1239</v>
      </c>
      <c r="D485" s="74" t="s">
        <v>1229</v>
      </c>
      <c r="E485" s="74" t="s">
        <v>1224</v>
      </c>
      <c r="F485" s="74" t="s">
        <v>1225</v>
      </c>
      <c r="G485" s="74" t="s">
        <v>1226</v>
      </c>
    </row>
    <row r="486" spans="1:7" x14ac:dyDescent="0.2">
      <c r="A486" s="39">
        <v>3103</v>
      </c>
      <c r="B486" s="38" t="s">
        <v>258</v>
      </c>
      <c r="C486" s="39" t="s">
        <v>1239</v>
      </c>
      <c r="D486" s="74" t="s">
        <v>1229</v>
      </c>
      <c r="E486" s="74" t="s">
        <v>1224</v>
      </c>
      <c r="F486" s="74" t="s">
        <v>1225</v>
      </c>
      <c r="G486" s="74" t="s">
        <v>1226</v>
      </c>
    </row>
    <row r="487" spans="1:7" x14ac:dyDescent="0.2">
      <c r="A487" s="39">
        <v>3104</v>
      </c>
      <c r="B487" s="38" t="s">
        <v>1903</v>
      </c>
      <c r="C487" s="39" t="s">
        <v>1239</v>
      </c>
      <c r="D487" s="74" t="s">
        <v>1227</v>
      </c>
      <c r="E487" s="74" t="s">
        <v>1224</v>
      </c>
      <c r="F487" s="74" t="s">
        <v>1226</v>
      </c>
      <c r="G487" s="74" t="s">
        <v>1225</v>
      </c>
    </row>
    <row r="488" spans="1:7" x14ac:dyDescent="0.2">
      <c r="A488" s="39">
        <v>3105</v>
      </c>
      <c r="B488" s="38" t="s">
        <v>1904</v>
      </c>
      <c r="C488" s="39" t="s">
        <v>1239</v>
      </c>
      <c r="D488" s="74" t="s">
        <v>1227</v>
      </c>
      <c r="E488" s="74" t="s">
        <v>1224</v>
      </c>
      <c r="F488" s="74" t="s">
        <v>1226</v>
      </c>
      <c r="G488" s="74" t="s">
        <v>1225</v>
      </c>
    </row>
    <row r="489" spans="1:7" x14ac:dyDescent="0.2">
      <c r="A489" s="39">
        <v>3106</v>
      </c>
      <c r="B489" s="38" t="s">
        <v>1905</v>
      </c>
      <c r="C489" s="39" t="s">
        <v>1239</v>
      </c>
      <c r="D489" s="74" t="s">
        <v>1229</v>
      </c>
      <c r="E489" s="74" t="s">
        <v>1224</v>
      </c>
      <c r="F489" s="74" t="s">
        <v>1225</v>
      </c>
      <c r="G489" s="74" t="s">
        <v>1226</v>
      </c>
    </row>
    <row r="490" spans="1:7" x14ac:dyDescent="0.2">
      <c r="A490" s="39">
        <v>3107</v>
      </c>
      <c r="B490" s="38" t="s">
        <v>1906</v>
      </c>
      <c r="C490" s="39" t="s">
        <v>1239</v>
      </c>
      <c r="D490" s="74" t="s">
        <v>1227</v>
      </c>
      <c r="E490" s="74" t="s">
        <v>1224</v>
      </c>
      <c r="F490" s="74" t="s">
        <v>1226</v>
      </c>
      <c r="G490" s="74" t="s">
        <v>1226</v>
      </c>
    </row>
    <row r="491" spans="1:7" x14ac:dyDescent="0.2">
      <c r="A491" s="39">
        <v>3108</v>
      </c>
      <c r="B491" s="38" t="s">
        <v>1907</v>
      </c>
      <c r="C491" s="39" t="s">
        <v>1239</v>
      </c>
      <c r="D491" s="74" t="s">
        <v>1229</v>
      </c>
      <c r="E491" s="74" t="s">
        <v>1224</v>
      </c>
      <c r="F491" s="74" t="s">
        <v>1225</v>
      </c>
      <c r="G491" s="74" t="s">
        <v>1226</v>
      </c>
    </row>
    <row r="492" spans="1:7" x14ac:dyDescent="0.2">
      <c r="A492" s="39">
        <v>3109</v>
      </c>
      <c r="B492" s="38" t="s">
        <v>258</v>
      </c>
      <c r="C492" s="39" t="s">
        <v>1239</v>
      </c>
      <c r="D492" s="74" t="s">
        <v>1229</v>
      </c>
      <c r="E492" s="74" t="s">
        <v>1224</v>
      </c>
      <c r="F492" s="74" t="s">
        <v>1225</v>
      </c>
      <c r="G492" s="74" t="s">
        <v>1226</v>
      </c>
    </row>
    <row r="493" spans="1:7" x14ac:dyDescent="0.2">
      <c r="A493" s="39">
        <v>3110</v>
      </c>
      <c r="B493" s="38" t="s">
        <v>1908</v>
      </c>
      <c r="C493" s="39" t="s">
        <v>1239</v>
      </c>
      <c r="D493" s="74" t="s">
        <v>1227</v>
      </c>
      <c r="E493" s="74" t="s">
        <v>1224</v>
      </c>
      <c r="F493" s="74" t="s">
        <v>1226</v>
      </c>
      <c r="G493" s="74" t="s">
        <v>1225</v>
      </c>
    </row>
    <row r="494" spans="1:7" x14ac:dyDescent="0.2">
      <c r="A494" s="39">
        <v>3111</v>
      </c>
      <c r="B494" s="38" t="s">
        <v>258</v>
      </c>
      <c r="C494" s="39" t="s">
        <v>1239</v>
      </c>
      <c r="D494" s="74" t="s">
        <v>1229</v>
      </c>
      <c r="E494" s="74" t="s">
        <v>1224</v>
      </c>
      <c r="F494" s="74" t="s">
        <v>1225</v>
      </c>
      <c r="G494" s="74" t="s">
        <v>1226</v>
      </c>
    </row>
    <row r="495" spans="1:7" x14ac:dyDescent="0.2">
      <c r="A495" s="39">
        <v>3121</v>
      </c>
      <c r="B495" s="38" t="s">
        <v>1909</v>
      </c>
      <c r="C495" s="39" t="s">
        <v>1239</v>
      </c>
      <c r="D495" s="74" t="s">
        <v>1227</v>
      </c>
      <c r="E495" s="74" t="s">
        <v>1224</v>
      </c>
      <c r="F495" s="74" t="s">
        <v>1226</v>
      </c>
      <c r="G495" s="74" t="s">
        <v>1226</v>
      </c>
    </row>
    <row r="496" spans="1:7" x14ac:dyDescent="0.2">
      <c r="A496" s="39">
        <v>3122</v>
      </c>
      <c r="B496" s="38" t="s">
        <v>1910</v>
      </c>
      <c r="C496" s="39" t="s">
        <v>1239</v>
      </c>
      <c r="D496" s="74" t="s">
        <v>1227</v>
      </c>
      <c r="E496" s="74" t="s">
        <v>1224</v>
      </c>
      <c r="F496" s="74" t="s">
        <v>1226</v>
      </c>
      <c r="G496" s="74" t="s">
        <v>1225</v>
      </c>
    </row>
    <row r="497" spans="1:7" x14ac:dyDescent="0.2">
      <c r="A497" s="39">
        <v>3123</v>
      </c>
      <c r="B497" s="38" t="s">
        <v>1911</v>
      </c>
      <c r="C497" s="39" t="s">
        <v>1239</v>
      </c>
      <c r="D497" s="74" t="s">
        <v>1227</v>
      </c>
      <c r="E497" s="74" t="s">
        <v>1224</v>
      </c>
      <c r="F497" s="74" t="s">
        <v>1226</v>
      </c>
      <c r="G497" s="74" t="s">
        <v>1225</v>
      </c>
    </row>
    <row r="498" spans="1:7" x14ac:dyDescent="0.2">
      <c r="A498" s="39">
        <v>3124</v>
      </c>
      <c r="B498" s="38" t="s">
        <v>1912</v>
      </c>
      <c r="C498" s="39" t="s">
        <v>1239</v>
      </c>
      <c r="D498" s="74" t="s">
        <v>1227</v>
      </c>
      <c r="E498" s="74" t="s">
        <v>1224</v>
      </c>
      <c r="F498" s="74" t="s">
        <v>1226</v>
      </c>
      <c r="G498" s="74" t="s">
        <v>1225</v>
      </c>
    </row>
    <row r="499" spans="1:7" x14ac:dyDescent="0.2">
      <c r="A499" s="39">
        <v>3125</v>
      </c>
      <c r="B499" s="38" t="s">
        <v>1913</v>
      </c>
      <c r="C499" s="39" t="s">
        <v>1239</v>
      </c>
      <c r="D499" s="74" t="s">
        <v>1227</v>
      </c>
      <c r="E499" s="74" t="s">
        <v>1224</v>
      </c>
      <c r="F499" s="74" t="s">
        <v>1226</v>
      </c>
      <c r="G499" s="74" t="s">
        <v>1225</v>
      </c>
    </row>
    <row r="500" spans="1:7" x14ac:dyDescent="0.2">
      <c r="A500" s="39">
        <v>3130</v>
      </c>
      <c r="B500" s="38" t="s">
        <v>1914</v>
      </c>
      <c r="C500" s="39" t="s">
        <v>1239</v>
      </c>
      <c r="D500" s="74" t="s">
        <v>1227</v>
      </c>
      <c r="E500" s="74" t="s">
        <v>1224</v>
      </c>
      <c r="F500" s="74" t="s">
        <v>1226</v>
      </c>
      <c r="G500" s="74" t="s">
        <v>1226</v>
      </c>
    </row>
    <row r="501" spans="1:7" x14ac:dyDescent="0.2">
      <c r="A501" s="39">
        <v>3131</v>
      </c>
      <c r="B501" s="38" t="s">
        <v>1916</v>
      </c>
      <c r="C501" s="39" t="s">
        <v>1239</v>
      </c>
      <c r="D501" s="74" t="s">
        <v>1227</v>
      </c>
      <c r="E501" s="74" t="s">
        <v>1224</v>
      </c>
      <c r="F501" s="74" t="s">
        <v>1226</v>
      </c>
      <c r="G501" s="74" t="s">
        <v>1225</v>
      </c>
    </row>
    <row r="502" spans="1:7" x14ac:dyDescent="0.2">
      <c r="A502" s="39">
        <v>3133</v>
      </c>
      <c r="B502" s="38" t="s">
        <v>1917</v>
      </c>
      <c r="C502" s="39" t="s">
        <v>1239</v>
      </c>
      <c r="D502" s="74" t="s">
        <v>1227</v>
      </c>
      <c r="E502" s="74" t="s">
        <v>1224</v>
      </c>
      <c r="F502" s="74" t="s">
        <v>1226</v>
      </c>
      <c r="G502" s="74" t="s">
        <v>1226</v>
      </c>
    </row>
    <row r="503" spans="1:7" x14ac:dyDescent="0.2">
      <c r="A503" s="39">
        <v>3134</v>
      </c>
      <c r="B503" s="38" t="s">
        <v>1918</v>
      </c>
      <c r="C503" s="39" t="s">
        <v>1239</v>
      </c>
      <c r="D503" s="74" t="s">
        <v>1227</v>
      </c>
      <c r="E503" s="74" t="s">
        <v>1224</v>
      </c>
      <c r="F503" s="74" t="s">
        <v>1226</v>
      </c>
      <c r="G503" s="74" t="s">
        <v>1225</v>
      </c>
    </row>
    <row r="504" spans="1:7" x14ac:dyDescent="0.2">
      <c r="A504" s="39">
        <v>3140</v>
      </c>
      <c r="B504" s="38" t="s">
        <v>1919</v>
      </c>
      <c r="C504" s="39" t="s">
        <v>1239</v>
      </c>
      <c r="D504" s="74" t="s">
        <v>1227</v>
      </c>
      <c r="E504" s="74" t="s">
        <v>1224</v>
      </c>
      <c r="F504" s="74" t="s">
        <v>1226</v>
      </c>
      <c r="G504" s="74" t="s">
        <v>1225</v>
      </c>
    </row>
    <row r="505" spans="1:7" x14ac:dyDescent="0.2">
      <c r="A505" s="39">
        <v>3141</v>
      </c>
      <c r="B505" s="38" t="s">
        <v>1920</v>
      </c>
      <c r="C505" s="39" t="s">
        <v>1239</v>
      </c>
      <c r="D505" s="74" t="s">
        <v>1227</v>
      </c>
      <c r="E505" s="74" t="s">
        <v>1224</v>
      </c>
      <c r="F505" s="74" t="s">
        <v>1226</v>
      </c>
      <c r="G505" s="74" t="s">
        <v>1225</v>
      </c>
    </row>
    <row r="506" spans="1:7" x14ac:dyDescent="0.2">
      <c r="A506" s="39">
        <v>3142</v>
      </c>
      <c r="B506" s="38" t="s">
        <v>1921</v>
      </c>
      <c r="C506" s="39" t="s">
        <v>1239</v>
      </c>
      <c r="D506" s="74" t="s">
        <v>1227</v>
      </c>
      <c r="E506" s="74" t="s">
        <v>1224</v>
      </c>
      <c r="F506" s="74" t="s">
        <v>1226</v>
      </c>
      <c r="G506" s="74" t="s">
        <v>1225</v>
      </c>
    </row>
    <row r="507" spans="1:7" x14ac:dyDescent="0.2">
      <c r="A507" s="39">
        <v>3143</v>
      </c>
      <c r="B507" s="38" t="s">
        <v>1922</v>
      </c>
      <c r="C507" s="39" t="s">
        <v>1239</v>
      </c>
      <c r="D507" s="74" t="s">
        <v>1227</v>
      </c>
      <c r="E507" s="74" t="s">
        <v>1224</v>
      </c>
      <c r="F507" s="74" t="s">
        <v>1226</v>
      </c>
      <c r="G507" s="74" t="s">
        <v>1226</v>
      </c>
    </row>
    <row r="508" spans="1:7" x14ac:dyDescent="0.2">
      <c r="A508" s="39">
        <v>3144</v>
      </c>
      <c r="B508" s="38" t="s">
        <v>1923</v>
      </c>
      <c r="C508" s="39" t="s">
        <v>1239</v>
      </c>
      <c r="D508" s="74" t="s">
        <v>1227</v>
      </c>
      <c r="E508" s="74" t="s">
        <v>1224</v>
      </c>
      <c r="F508" s="74" t="s">
        <v>1226</v>
      </c>
      <c r="G508" s="74" t="s">
        <v>1225</v>
      </c>
    </row>
    <row r="509" spans="1:7" x14ac:dyDescent="0.2">
      <c r="A509" s="39">
        <v>3150</v>
      </c>
      <c r="B509" s="38" t="s">
        <v>1924</v>
      </c>
      <c r="C509" s="39" t="s">
        <v>1239</v>
      </c>
      <c r="D509" s="74" t="s">
        <v>1227</v>
      </c>
      <c r="E509" s="74" t="s">
        <v>1224</v>
      </c>
      <c r="F509" s="74" t="s">
        <v>1226</v>
      </c>
      <c r="G509" s="74" t="s">
        <v>1226</v>
      </c>
    </row>
    <row r="510" spans="1:7" x14ac:dyDescent="0.2">
      <c r="A510" s="39">
        <v>3151</v>
      </c>
      <c r="B510" s="38" t="s">
        <v>1925</v>
      </c>
      <c r="C510" s="39" t="s">
        <v>1239</v>
      </c>
      <c r="D510" s="74" t="s">
        <v>1227</v>
      </c>
      <c r="E510" s="74" t="s">
        <v>1224</v>
      </c>
      <c r="F510" s="74" t="s">
        <v>1226</v>
      </c>
      <c r="G510" s="74" t="s">
        <v>1225</v>
      </c>
    </row>
    <row r="511" spans="1:7" x14ac:dyDescent="0.2">
      <c r="A511" s="39">
        <v>3153</v>
      </c>
      <c r="B511" s="38" t="s">
        <v>1926</v>
      </c>
      <c r="C511" s="39" t="s">
        <v>1239</v>
      </c>
      <c r="D511" s="74" t="s">
        <v>1227</v>
      </c>
      <c r="E511" s="74" t="s">
        <v>1224</v>
      </c>
      <c r="F511" s="74" t="s">
        <v>1226</v>
      </c>
      <c r="G511" s="74" t="s">
        <v>1225</v>
      </c>
    </row>
    <row r="512" spans="1:7" x14ac:dyDescent="0.2">
      <c r="A512" s="39">
        <v>3160</v>
      </c>
      <c r="B512" s="38" t="s">
        <v>1927</v>
      </c>
      <c r="C512" s="39" t="s">
        <v>1239</v>
      </c>
      <c r="D512" s="74" t="s">
        <v>1227</v>
      </c>
      <c r="E512" s="74" t="s">
        <v>1224</v>
      </c>
      <c r="F512" s="74" t="s">
        <v>1226</v>
      </c>
      <c r="G512" s="74" t="s">
        <v>1226</v>
      </c>
    </row>
    <row r="513" spans="1:7" x14ac:dyDescent="0.2">
      <c r="A513" s="39">
        <v>3161</v>
      </c>
      <c r="B513" s="38" t="s">
        <v>447</v>
      </c>
      <c r="C513" s="39" t="s">
        <v>1239</v>
      </c>
      <c r="D513" s="74" t="s">
        <v>1227</v>
      </c>
      <c r="E513" s="74" t="s">
        <v>1224</v>
      </c>
      <c r="F513" s="74" t="s">
        <v>1226</v>
      </c>
      <c r="G513" s="74" t="s">
        <v>1226</v>
      </c>
    </row>
    <row r="514" spans="1:7" x14ac:dyDescent="0.2">
      <c r="A514" s="39">
        <v>3162</v>
      </c>
      <c r="B514" s="38" t="s">
        <v>448</v>
      </c>
      <c r="C514" s="39" t="s">
        <v>1239</v>
      </c>
      <c r="D514" s="74" t="s">
        <v>1227</v>
      </c>
      <c r="E514" s="74" t="s">
        <v>1224</v>
      </c>
      <c r="F514" s="74" t="s">
        <v>1226</v>
      </c>
      <c r="G514" s="74" t="s">
        <v>1225</v>
      </c>
    </row>
    <row r="515" spans="1:7" x14ac:dyDescent="0.2">
      <c r="A515" s="39">
        <v>3163</v>
      </c>
      <c r="B515" s="38" t="s">
        <v>449</v>
      </c>
      <c r="C515" s="39" t="s">
        <v>1239</v>
      </c>
      <c r="D515" s="74" t="s">
        <v>1227</v>
      </c>
      <c r="E515" s="74" t="s">
        <v>1224</v>
      </c>
      <c r="F515" s="74" t="s">
        <v>1226</v>
      </c>
      <c r="G515" s="74" t="s">
        <v>1225</v>
      </c>
    </row>
    <row r="516" spans="1:7" x14ac:dyDescent="0.2">
      <c r="A516" s="39">
        <v>3170</v>
      </c>
      <c r="B516" s="38" t="s">
        <v>450</v>
      </c>
      <c r="C516" s="39" t="s">
        <v>1239</v>
      </c>
      <c r="D516" s="74" t="s">
        <v>1227</v>
      </c>
      <c r="E516" s="74" t="s">
        <v>1224</v>
      </c>
      <c r="F516" s="74" t="s">
        <v>1226</v>
      </c>
      <c r="G516" s="74" t="s">
        <v>1226</v>
      </c>
    </row>
    <row r="517" spans="1:7" x14ac:dyDescent="0.2">
      <c r="A517" s="39">
        <v>3171</v>
      </c>
      <c r="B517" s="38" t="s">
        <v>451</v>
      </c>
      <c r="C517" s="39" t="s">
        <v>1239</v>
      </c>
      <c r="D517" s="74" t="s">
        <v>1227</v>
      </c>
      <c r="E517" s="74" t="s">
        <v>1224</v>
      </c>
      <c r="F517" s="74" t="s">
        <v>1226</v>
      </c>
      <c r="G517" s="74" t="s">
        <v>1225</v>
      </c>
    </row>
    <row r="518" spans="1:7" x14ac:dyDescent="0.2">
      <c r="A518" s="39">
        <v>3172</v>
      </c>
      <c r="B518" s="38" t="s">
        <v>452</v>
      </c>
      <c r="C518" s="39" t="s">
        <v>1239</v>
      </c>
      <c r="D518" s="74" t="s">
        <v>1227</v>
      </c>
      <c r="E518" s="74" t="s">
        <v>1224</v>
      </c>
      <c r="F518" s="74" t="s">
        <v>1226</v>
      </c>
      <c r="G518" s="74" t="s">
        <v>1225</v>
      </c>
    </row>
    <row r="519" spans="1:7" x14ac:dyDescent="0.2">
      <c r="A519" s="39">
        <v>3180</v>
      </c>
      <c r="B519" s="38" t="s">
        <v>202</v>
      </c>
      <c r="C519" s="39" t="s">
        <v>1239</v>
      </c>
      <c r="D519" s="74" t="s">
        <v>1227</v>
      </c>
      <c r="E519" s="74" t="s">
        <v>1224</v>
      </c>
      <c r="F519" s="74" t="s">
        <v>1226</v>
      </c>
      <c r="G519" s="74" t="s">
        <v>1226</v>
      </c>
    </row>
    <row r="520" spans="1:7" x14ac:dyDescent="0.2">
      <c r="A520" s="39">
        <v>3182</v>
      </c>
      <c r="B520" s="38" t="s">
        <v>453</v>
      </c>
      <c r="C520" s="39" t="s">
        <v>1239</v>
      </c>
      <c r="D520" s="74" t="s">
        <v>1223</v>
      </c>
      <c r="E520" s="74" t="s">
        <v>1224</v>
      </c>
      <c r="F520" s="74" t="s">
        <v>1225</v>
      </c>
      <c r="G520" s="74" t="s">
        <v>1226</v>
      </c>
    </row>
    <row r="521" spans="1:7" x14ac:dyDescent="0.2">
      <c r="A521" s="39">
        <v>3183</v>
      </c>
      <c r="B521" s="38" t="s">
        <v>454</v>
      </c>
      <c r="C521" s="39" t="s">
        <v>1239</v>
      </c>
      <c r="D521" s="74" t="s">
        <v>1227</v>
      </c>
      <c r="E521" s="74" t="s">
        <v>1224</v>
      </c>
      <c r="F521" s="74" t="s">
        <v>1226</v>
      </c>
      <c r="G521" s="74" t="s">
        <v>1225</v>
      </c>
    </row>
    <row r="522" spans="1:7" x14ac:dyDescent="0.2">
      <c r="A522" s="39">
        <v>3184</v>
      </c>
      <c r="B522" s="38" t="s">
        <v>455</v>
      </c>
      <c r="C522" s="39" t="s">
        <v>1239</v>
      </c>
      <c r="D522" s="74" t="s">
        <v>1227</v>
      </c>
      <c r="E522" s="74" t="s">
        <v>1224</v>
      </c>
      <c r="F522" s="74" t="s">
        <v>1226</v>
      </c>
      <c r="G522" s="74" t="s">
        <v>1226</v>
      </c>
    </row>
    <row r="523" spans="1:7" x14ac:dyDescent="0.2">
      <c r="A523" s="39">
        <v>3192</v>
      </c>
      <c r="B523" s="38" t="s">
        <v>456</v>
      </c>
      <c r="C523" s="39" t="s">
        <v>1239</v>
      </c>
      <c r="D523" s="74" t="s">
        <v>1227</v>
      </c>
      <c r="E523" s="74" t="s">
        <v>1224</v>
      </c>
      <c r="F523" s="74" t="s">
        <v>1226</v>
      </c>
      <c r="G523" s="74" t="s">
        <v>1225</v>
      </c>
    </row>
    <row r="524" spans="1:7" x14ac:dyDescent="0.2">
      <c r="A524" s="39">
        <v>3193</v>
      </c>
      <c r="B524" s="38" t="s">
        <v>457</v>
      </c>
      <c r="C524" s="39" t="s">
        <v>1239</v>
      </c>
      <c r="D524" s="74" t="s">
        <v>1227</v>
      </c>
      <c r="E524" s="74" t="s">
        <v>1224</v>
      </c>
      <c r="F524" s="74" t="s">
        <v>1226</v>
      </c>
      <c r="G524" s="74" t="s">
        <v>1226</v>
      </c>
    </row>
    <row r="525" spans="1:7" x14ac:dyDescent="0.2">
      <c r="A525" s="39">
        <v>3195</v>
      </c>
      <c r="B525" s="38" t="s">
        <v>458</v>
      </c>
      <c r="C525" s="39" t="s">
        <v>1239</v>
      </c>
      <c r="D525" s="74" t="s">
        <v>1227</v>
      </c>
      <c r="E525" s="74" t="s">
        <v>1224</v>
      </c>
      <c r="F525" s="74" t="s">
        <v>1226</v>
      </c>
      <c r="G525" s="74" t="s">
        <v>1225</v>
      </c>
    </row>
    <row r="526" spans="1:7" x14ac:dyDescent="0.2">
      <c r="A526" s="39">
        <v>3200</v>
      </c>
      <c r="B526" s="38" t="s">
        <v>459</v>
      </c>
      <c r="C526" s="39" t="s">
        <v>1239</v>
      </c>
      <c r="D526" s="74" t="s">
        <v>1227</v>
      </c>
      <c r="E526" s="74" t="s">
        <v>1224</v>
      </c>
      <c r="F526" s="74" t="s">
        <v>1226</v>
      </c>
      <c r="G526" s="74" t="s">
        <v>1226</v>
      </c>
    </row>
    <row r="527" spans="1:7" x14ac:dyDescent="0.2">
      <c r="A527" s="39">
        <v>3202</v>
      </c>
      <c r="B527" s="38" t="s">
        <v>460</v>
      </c>
      <c r="C527" s="39" t="s">
        <v>1239</v>
      </c>
      <c r="D527" s="74" t="s">
        <v>1227</v>
      </c>
      <c r="E527" s="74" t="s">
        <v>1224</v>
      </c>
      <c r="F527" s="74" t="s">
        <v>1226</v>
      </c>
      <c r="G527" s="74" t="s">
        <v>1225</v>
      </c>
    </row>
    <row r="528" spans="1:7" x14ac:dyDescent="0.2">
      <c r="A528" s="39">
        <v>3203</v>
      </c>
      <c r="B528" s="38" t="s">
        <v>461</v>
      </c>
      <c r="C528" s="39" t="s">
        <v>1239</v>
      </c>
      <c r="D528" s="74" t="s">
        <v>1227</v>
      </c>
      <c r="E528" s="74" t="s">
        <v>1224</v>
      </c>
      <c r="F528" s="74" t="s">
        <v>1226</v>
      </c>
      <c r="G528" s="74" t="s">
        <v>1226</v>
      </c>
    </row>
    <row r="529" spans="1:7" x14ac:dyDescent="0.2">
      <c r="A529" s="39">
        <v>3204</v>
      </c>
      <c r="B529" s="38" t="s">
        <v>462</v>
      </c>
      <c r="C529" s="39" t="s">
        <v>1239</v>
      </c>
      <c r="D529" s="74" t="s">
        <v>1227</v>
      </c>
      <c r="E529" s="74" t="s">
        <v>1224</v>
      </c>
      <c r="F529" s="74" t="s">
        <v>1226</v>
      </c>
      <c r="G529" s="74" t="s">
        <v>1226</v>
      </c>
    </row>
    <row r="530" spans="1:7" x14ac:dyDescent="0.2">
      <c r="A530" s="39">
        <v>3211</v>
      </c>
      <c r="B530" s="38" t="s">
        <v>463</v>
      </c>
      <c r="C530" s="39" t="s">
        <v>1239</v>
      </c>
      <c r="D530" s="74" t="s">
        <v>1227</v>
      </c>
      <c r="E530" s="74" t="s">
        <v>1224</v>
      </c>
      <c r="F530" s="74" t="s">
        <v>1226</v>
      </c>
      <c r="G530" s="74" t="s">
        <v>1225</v>
      </c>
    </row>
    <row r="531" spans="1:7" x14ac:dyDescent="0.2">
      <c r="A531" s="39">
        <v>3212</v>
      </c>
      <c r="B531" s="38" t="s">
        <v>464</v>
      </c>
      <c r="C531" s="39" t="s">
        <v>1239</v>
      </c>
      <c r="D531" s="74" t="s">
        <v>1227</v>
      </c>
      <c r="E531" s="74" t="s">
        <v>1224</v>
      </c>
      <c r="F531" s="74" t="s">
        <v>1226</v>
      </c>
      <c r="G531" s="74" t="s">
        <v>1225</v>
      </c>
    </row>
    <row r="532" spans="1:7" x14ac:dyDescent="0.2">
      <c r="A532" s="39">
        <v>3213</v>
      </c>
      <c r="B532" s="38" t="s">
        <v>465</v>
      </c>
      <c r="C532" s="39" t="s">
        <v>1239</v>
      </c>
      <c r="D532" s="74" t="s">
        <v>1227</v>
      </c>
      <c r="E532" s="74" t="s">
        <v>1224</v>
      </c>
      <c r="F532" s="74" t="s">
        <v>1226</v>
      </c>
      <c r="G532" s="74" t="s">
        <v>1226</v>
      </c>
    </row>
    <row r="533" spans="1:7" x14ac:dyDescent="0.2">
      <c r="A533" s="39">
        <v>3214</v>
      </c>
      <c r="B533" s="38" t="s">
        <v>466</v>
      </c>
      <c r="C533" s="39" t="s">
        <v>1239</v>
      </c>
      <c r="D533" s="74" t="s">
        <v>1227</v>
      </c>
      <c r="E533" s="74" t="s">
        <v>1224</v>
      </c>
      <c r="F533" s="74" t="s">
        <v>1226</v>
      </c>
      <c r="G533" s="74" t="s">
        <v>1226</v>
      </c>
    </row>
    <row r="534" spans="1:7" x14ac:dyDescent="0.2">
      <c r="A534" s="39">
        <v>3221</v>
      </c>
      <c r="B534" s="38" t="s">
        <v>467</v>
      </c>
      <c r="C534" s="39" t="s">
        <v>1239</v>
      </c>
      <c r="D534" s="74" t="s">
        <v>1227</v>
      </c>
      <c r="E534" s="74" t="s">
        <v>1224</v>
      </c>
      <c r="F534" s="74" t="s">
        <v>1226</v>
      </c>
      <c r="G534" s="74" t="s">
        <v>1225</v>
      </c>
    </row>
    <row r="535" spans="1:7" x14ac:dyDescent="0.2">
      <c r="A535" s="39">
        <v>3222</v>
      </c>
      <c r="B535" s="38" t="s">
        <v>468</v>
      </c>
      <c r="C535" s="39" t="s">
        <v>1239</v>
      </c>
      <c r="D535" s="74" t="s">
        <v>1227</v>
      </c>
      <c r="E535" s="74" t="s">
        <v>1224</v>
      </c>
      <c r="F535" s="74" t="s">
        <v>1226</v>
      </c>
      <c r="G535" s="74" t="s">
        <v>1225</v>
      </c>
    </row>
    <row r="536" spans="1:7" x14ac:dyDescent="0.2">
      <c r="A536" s="39">
        <v>3223</v>
      </c>
      <c r="B536" s="38" t="s">
        <v>469</v>
      </c>
      <c r="C536" s="39" t="s">
        <v>1239</v>
      </c>
      <c r="D536" s="74" t="s">
        <v>1227</v>
      </c>
      <c r="E536" s="74" t="s">
        <v>1224</v>
      </c>
      <c r="F536" s="74" t="s">
        <v>1226</v>
      </c>
      <c r="G536" s="74" t="s">
        <v>1225</v>
      </c>
    </row>
    <row r="537" spans="1:7" x14ac:dyDescent="0.2">
      <c r="A537" s="39">
        <v>3224</v>
      </c>
      <c r="B537" s="38" t="s">
        <v>470</v>
      </c>
      <c r="C537" s="39" t="s">
        <v>1239</v>
      </c>
      <c r="D537" s="74" t="s">
        <v>1227</v>
      </c>
      <c r="E537" s="74" t="s">
        <v>1224</v>
      </c>
      <c r="F537" s="74" t="s">
        <v>1226</v>
      </c>
      <c r="G537" s="74" t="s">
        <v>1225</v>
      </c>
    </row>
    <row r="538" spans="1:7" x14ac:dyDescent="0.2">
      <c r="A538" s="39">
        <v>3231</v>
      </c>
      <c r="B538" s="38" t="s">
        <v>471</v>
      </c>
      <c r="C538" s="39" t="s">
        <v>1239</v>
      </c>
      <c r="D538" s="74" t="s">
        <v>1227</v>
      </c>
      <c r="E538" s="74" t="s">
        <v>1224</v>
      </c>
      <c r="F538" s="74" t="s">
        <v>1226</v>
      </c>
      <c r="G538" s="74" t="s">
        <v>1225</v>
      </c>
    </row>
    <row r="539" spans="1:7" x14ac:dyDescent="0.2">
      <c r="A539" s="39">
        <v>3232</v>
      </c>
      <c r="B539" s="38" t="s">
        <v>472</v>
      </c>
      <c r="C539" s="39" t="s">
        <v>1239</v>
      </c>
      <c r="D539" s="74" t="s">
        <v>1227</v>
      </c>
      <c r="E539" s="74" t="s">
        <v>1224</v>
      </c>
      <c r="F539" s="74" t="s">
        <v>1226</v>
      </c>
      <c r="G539" s="74" t="s">
        <v>1225</v>
      </c>
    </row>
    <row r="540" spans="1:7" x14ac:dyDescent="0.2">
      <c r="A540" s="39">
        <v>3233</v>
      </c>
      <c r="B540" s="38" t="s">
        <v>473</v>
      </c>
      <c r="C540" s="39" t="s">
        <v>1239</v>
      </c>
      <c r="D540" s="74" t="s">
        <v>1227</v>
      </c>
      <c r="E540" s="74" t="s">
        <v>1224</v>
      </c>
      <c r="F540" s="74" t="s">
        <v>1226</v>
      </c>
      <c r="G540" s="74" t="s">
        <v>1225</v>
      </c>
    </row>
    <row r="541" spans="1:7" x14ac:dyDescent="0.2">
      <c r="A541" s="39">
        <v>3240</v>
      </c>
      <c r="B541" s="38" t="s">
        <v>474</v>
      </c>
      <c r="C541" s="39" t="s">
        <v>1239</v>
      </c>
      <c r="D541" s="74" t="s">
        <v>1227</v>
      </c>
      <c r="E541" s="74" t="s">
        <v>1224</v>
      </c>
      <c r="F541" s="74" t="s">
        <v>1226</v>
      </c>
      <c r="G541" s="74" t="s">
        <v>1226</v>
      </c>
    </row>
    <row r="542" spans="1:7" x14ac:dyDescent="0.2">
      <c r="A542" s="39">
        <v>3241</v>
      </c>
      <c r="B542" s="38" t="s">
        <v>475</v>
      </c>
      <c r="C542" s="39" t="s">
        <v>1239</v>
      </c>
      <c r="D542" s="74" t="s">
        <v>1227</v>
      </c>
      <c r="E542" s="74" t="s">
        <v>1224</v>
      </c>
      <c r="F542" s="74" t="s">
        <v>1226</v>
      </c>
      <c r="G542" s="74" t="s">
        <v>1225</v>
      </c>
    </row>
    <row r="543" spans="1:7" x14ac:dyDescent="0.2">
      <c r="A543" s="39">
        <v>3242</v>
      </c>
      <c r="B543" s="38" t="s">
        <v>476</v>
      </c>
      <c r="C543" s="39" t="s">
        <v>1239</v>
      </c>
      <c r="D543" s="74" t="s">
        <v>1227</v>
      </c>
      <c r="E543" s="74" t="s">
        <v>1224</v>
      </c>
      <c r="F543" s="74" t="s">
        <v>1226</v>
      </c>
      <c r="G543" s="74" t="s">
        <v>1225</v>
      </c>
    </row>
    <row r="544" spans="1:7" x14ac:dyDescent="0.2">
      <c r="A544" s="39">
        <v>3243</v>
      </c>
      <c r="B544" s="38" t="s">
        <v>477</v>
      </c>
      <c r="C544" s="39" t="s">
        <v>1239</v>
      </c>
      <c r="D544" s="74" t="s">
        <v>1227</v>
      </c>
      <c r="E544" s="74" t="s">
        <v>1224</v>
      </c>
      <c r="F544" s="74" t="s">
        <v>1226</v>
      </c>
      <c r="G544" s="74" t="s">
        <v>1226</v>
      </c>
    </row>
    <row r="545" spans="1:7" x14ac:dyDescent="0.2">
      <c r="A545" s="39">
        <v>3244</v>
      </c>
      <c r="B545" s="38" t="s">
        <v>478</v>
      </c>
      <c r="C545" s="39" t="s">
        <v>1239</v>
      </c>
      <c r="D545" s="74" t="s">
        <v>1227</v>
      </c>
      <c r="E545" s="74" t="s">
        <v>1224</v>
      </c>
      <c r="F545" s="74" t="s">
        <v>1226</v>
      </c>
      <c r="G545" s="74" t="s">
        <v>1225</v>
      </c>
    </row>
    <row r="546" spans="1:7" x14ac:dyDescent="0.2">
      <c r="A546" s="39">
        <v>3250</v>
      </c>
      <c r="B546" s="38" t="s">
        <v>479</v>
      </c>
      <c r="C546" s="39" t="s">
        <v>1239</v>
      </c>
      <c r="D546" s="74" t="s">
        <v>1227</v>
      </c>
      <c r="E546" s="74" t="s">
        <v>1224</v>
      </c>
      <c r="F546" s="74" t="s">
        <v>1226</v>
      </c>
      <c r="G546" s="74" t="s">
        <v>1226</v>
      </c>
    </row>
    <row r="547" spans="1:7" x14ac:dyDescent="0.2">
      <c r="A547" s="39">
        <v>3251</v>
      </c>
      <c r="B547" s="38" t="s">
        <v>480</v>
      </c>
      <c r="C547" s="39" t="s">
        <v>1239</v>
      </c>
      <c r="D547" s="74" t="s">
        <v>1227</v>
      </c>
      <c r="E547" s="74" t="s">
        <v>1224</v>
      </c>
      <c r="F547" s="74" t="s">
        <v>1226</v>
      </c>
      <c r="G547" s="74" t="s">
        <v>1226</v>
      </c>
    </row>
    <row r="548" spans="1:7" x14ac:dyDescent="0.2">
      <c r="A548" s="39">
        <v>3252</v>
      </c>
      <c r="B548" s="38" t="s">
        <v>481</v>
      </c>
      <c r="C548" s="39" t="s">
        <v>1239</v>
      </c>
      <c r="D548" s="74" t="s">
        <v>1227</v>
      </c>
      <c r="E548" s="74" t="s">
        <v>1224</v>
      </c>
      <c r="F548" s="74" t="s">
        <v>1226</v>
      </c>
      <c r="G548" s="74" t="s">
        <v>1225</v>
      </c>
    </row>
    <row r="549" spans="1:7" x14ac:dyDescent="0.2">
      <c r="A549" s="39">
        <v>3253</v>
      </c>
      <c r="B549" s="38" t="s">
        <v>482</v>
      </c>
      <c r="C549" s="39" t="s">
        <v>1239</v>
      </c>
      <c r="D549" s="74" t="s">
        <v>1227</v>
      </c>
      <c r="E549" s="74" t="s">
        <v>1224</v>
      </c>
      <c r="F549" s="74" t="s">
        <v>1226</v>
      </c>
      <c r="G549" s="74" t="s">
        <v>1225</v>
      </c>
    </row>
    <row r="550" spans="1:7" x14ac:dyDescent="0.2">
      <c r="A550" s="39">
        <v>3261</v>
      </c>
      <c r="B550" s="38" t="s">
        <v>483</v>
      </c>
      <c r="C550" s="39" t="s">
        <v>1239</v>
      </c>
      <c r="D550" s="74" t="s">
        <v>1227</v>
      </c>
      <c r="E550" s="74" t="s">
        <v>1224</v>
      </c>
      <c r="F550" s="74" t="s">
        <v>1226</v>
      </c>
      <c r="G550" s="74" t="s">
        <v>1226</v>
      </c>
    </row>
    <row r="551" spans="1:7" x14ac:dyDescent="0.2">
      <c r="A551" s="39">
        <v>3262</v>
      </c>
      <c r="B551" s="38" t="s">
        <v>484</v>
      </c>
      <c r="C551" s="39" t="s">
        <v>1239</v>
      </c>
      <c r="D551" s="74" t="s">
        <v>1227</v>
      </c>
      <c r="E551" s="74" t="s">
        <v>1224</v>
      </c>
      <c r="F551" s="74" t="s">
        <v>1226</v>
      </c>
      <c r="G551" s="74" t="s">
        <v>1225</v>
      </c>
    </row>
    <row r="552" spans="1:7" x14ac:dyDescent="0.2">
      <c r="A552" s="39">
        <v>3263</v>
      </c>
      <c r="B552" s="38" t="s">
        <v>485</v>
      </c>
      <c r="C552" s="39" t="s">
        <v>1239</v>
      </c>
      <c r="D552" s="74" t="s">
        <v>1227</v>
      </c>
      <c r="E552" s="74" t="s">
        <v>1224</v>
      </c>
      <c r="F552" s="74" t="s">
        <v>1226</v>
      </c>
      <c r="G552" s="74" t="s">
        <v>1225</v>
      </c>
    </row>
    <row r="553" spans="1:7" x14ac:dyDescent="0.2">
      <c r="A553" s="39">
        <v>3264</v>
      </c>
      <c r="B553" s="38" t="s">
        <v>486</v>
      </c>
      <c r="C553" s="39" t="s">
        <v>1239</v>
      </c>
      <c r="D553" s="74" t="s">
        <v>1227</v>
      </c>
      <c r="E553" s="74" t="s">
        <v>1224</v>
      </c>
      <c r="F553" s="74" t="s">
        <v>1226</v>
      </c>
      <c r="G553" s="74" t="s">
        <v>1226</v>
      </c>
    </row>
    <row r="554" spans="1:7" x14ac:dyDescent="0.2">
      <c r="A554" s="39">
        <v>3270</v>
      </c>
      <c r="B554" s="38" t="s">
        <v>487</v>
      </c>
      <c r="C554" s="39" t="s">
        <v>1239</v>
      </c>
      <c r="D554" s="74" t="s">
        <v>1227</v>
      </c>
      <c r="E554" s="74" t="s">
        <v>1224</v>
      </c>
      <c r="F554" s="74" t="s">
        <v>1226</v>
      </c>
      <c r="G554" s="74" t="s">
        <v>1226</v>
      </c>
    </row>
    <row r="555" spans="1:7" x14ac:dyDescent="0.2">
      <c r="A555" s="39">
        <v>3281</v>
      </c>
      <c r="B555" s="38" t="s">
        <v>488</v>
      </c>
      <c r="C555" s="39" t="s">
        <v>1239</v>
      </c>
      <c r="D555" s="74" t="s">
        <v>1227</v>
      </c>
      <c r="E555" s="74" t="s">
        <v>1224</v>
      </c>
      <c r="F555" s="74" t="s">
        <v>1226</v>
      </c>
      <c r="G555" s="74" t="s">
        <v>1226</v>
      </c>
    </row>
    <row r="556" spans="1:7" x14ac:dyDescent="0.2">
      <c r="A556" s="39">
        <v>3282</v>
      </c>
      <c r="B556" s="38" t="s">
        <v>489</v>
      </c>
      <c r="C556" s="39" t="s">
        <v>1239</v>
      </c>
      <c r="D556" s="74" t="s">
        <v>1227</v>
      </c>
      <c r="E556" s="74" t="s">
        <v>1224</v>
      </c>
      <c r="F556" s="74" t="s">
        <v>1226</v>
      </c>
      <c r="G556" s="74" t="s">
        <v>1225</v>
      </c>
    </row>
    <row r="557" spans="1:7" x14ac:dyDescent="0.2">
      <c r="A557" s="39">
        <v>3283</v>
      </c>
      <c r="B557" s="38" t="s">
        <v>490</v>
      </c>
      <c r="C557" s="39" t="s">
        <v>1239</v>
      </c>
      <c r="D557" s="74" t="s">
        <v>1227</v>
      </c>
      <c r="E557" s="74" t="s">
        <v>1224</v>
      </c>
      <c r="F557" s="74" t="s">
        <v>1226</v>
      </c>
      <c r="G557" s="74" t="s">
        <v>1225</v>
      </c>
    </row>
    <row r="558" spans="1:7" x14ac:dyDescent="0.2">
      <c r="A558" s="39">
        <v>3291</v>
      </c>
      <c r="B558" s="38" t="s">
        <v>491</v>
      </c>
      <c r="C558" s="39" t="s">
        <v>1239</v>
      </c>
      <c r="D558" s="74" t="s">
        <v>1227</v>
      </c>
      <c r="E558" s="74" t="s">
        <v>1224</v>
      </c>
      <c r="F558" s="74" t="s">
        <v>1226</v>
      </c>
      <c r="G558" s="74" t="s">
        <v>1225</v>
      </c>
    </row>
    <row r="559" spans="1:7" x14ac:dyDescent="0.2">
      <c r="A559" s="39">
        <v>3292</v>
      </c>
      <c r="B559" s="38" t="s">
        <v>492</v>
      </c>
      <c r="C559" s="39" t="s">
        <v>1239</v>
      </c>
      <c r="D559" s="74" t="s">
        <v>1227</v>
      </c>
      <c r="E559" s="74" t="s">
        <v>1224</v>
      </c>
      <c r="F559" s="74" t="s">
        <v>1226</v>
      </c>
      <c r="G559" s="74" t="s">
        <v>1226</v>
      </c>
    </row>
    <row r="560" spans="1:7" x14ac:dyDescent="0.2">
      <c r="A560" s="39">
        <v>3293</v>
      </c>
      <c r="B560" s="38" t="s">
        <v>493</v>
      </c>
      <c r="C560" s="39" t="s">
        <v>1239</v>
      </c>
      <c r="D560" s="74" t="s">
        <v>1227</v>
      </c>
      <c r="E560" s="74" t="s">
        <v>1224</v>
      </c>
      <c r="F560" s="74" t="s">
        <v>1226</v>
      </c>
      <c r="G560" s="74" t="s">
        <v>1226</v>
      </c>
    </row>
    <row r="561" spans="1:7" x14ac:dyDescent="0.2">
      <c r="A561" s="39">
        <v>3294</v>
      </c>
      <c r="B561" s="38" t="s">
        <v>1271</v>
      </c>
      <c r="C561" s="39" t="s">
        <v>1239</v>
      </c>
      <c r="D561" s="74" t="s">
        <v>1227</v>
      </c>
      <c r="E561" s="74" t="s">
        <v>1224</v>
      </c>
      <c r="F561" s="74" t="s">
        <v>1226</v>
      </c>
      <c r="G561" s="74" t="s">
        <v>1225</v>
      </c>
    </row>
    <row r="562" spans="1:7" x14ac:dyDescent="0.2">
      <c r="A562" s="39">
        <v>3295</v>
      </c>
      <c r="B562" s="38" t="s">
        <v>494</v>
      </c>
      <c r="C562" s="39" t="s">
        <v>1239</v>
      </c>
      <c r="D562" s="74" t="s">
        <v>1227</v>
      </c>
      <c r="E562" s="74" t="s">
        <v>1224</v>
      </c>
      <c r="F562" s="74" t="s">
        <v>1226</v>
      </c>
      <c r="G562" s="74" t="s">
        <v>1225</v>
      </c>
    </row>
    <row r="563" spans="1:7" x14ac:dyDescent="0.2">
      <c r="A563" s="39">
        <v>3300</v>
      </c>
      <c r="B563" s="38" t="s">
        <v>107</v>
      </c>
      <c r="C563" s="39" t="s">
        <v>1239</v>
      </c>
      <c r="D563" s="74" t="s">
        <v>1227</v>
      </c>
      <c r="E563" s="74" t="s">
        <v>1224</v>
      </c>
      <c r="F563" s="74" t="s">
        <v>1226</v>
      </c>
      <c r="G563" s="74" t="s">
        <v>1226</v>
      </c>
    </row>
    <row r="564" spans="1:7" x14ac:dyDescent="0.2">
      <c r="A564" s="39">
        <v>3302</v>
      </c>
      <c r="B564" s="38" t="s">
        <v>495</v>
      </c>
      <c r="C564" s="39" t="s">
        <v>1239</v>
      </c>
      <c r="D564" s="74" t="s">
        <v>1229</v>
      </c>
      <c r="E564" s="74" t="s">
        <v>1224</v>
      </c>
      <c r="F564" s="74" t="s">
        <v>1225</v>
      </c>
      <c r="G564" s="74" t="s">
        <v>1226</v>
      </c>
    </row>
    <row r="565" spans="1:7" x14ac:dyDescent="0.2">
      <c r="A565" s="39">
        <v>3304</v>
      </c>
      <c r="B565" s="38" t="s">
        <v>496</v>
      </c>
      <c r="C565" s="39" t="s">
        <v>1239</v>
      </c>
      <c r="D565" s="74" t="s">
        <v>1227</v>
      </c>
      <c r="E565" s="74" t="s">
        <v>1224</v>
      </c>
      <c r="F565" s="74" t="s">
        <v>1226</v>
      </c>
      <c r="G565" s="74" t="s">
        <v>1225</v>
      </c>
    </row>
    <row r="566" spans="1:7" x14ac:dyDescent="0.2">
      <c r="A566" s="39">
        <v>3311</v>
      </c>
      <c r="B566" s="38" t="s">
        <v>497</v>
      </c>
      <c r="C566" s="39" t="s">
        <v>1239</v>
      </c>
      <c r="D566" s="74" t="s">
        <v>1227</v>
      </c>
      <c r="E566" s="74" t="s">
        <v>1224</v>
      </c>
      <c r="F566" s="74" t="s">
        <v>1226</v>
      </c>
      <c r="G566" s="74" t="s">
        <v>1225</v>
      </c>
    </row>
    <row r="567" spans="1:7" x14ac:dyDescent="0.2">
      <c r="A567" s="39">
        <v>3312</v>
      </c>
      <c r="B567" s="38" t="s">
        <v>1850</v>
      </c>
      <c r="C567" s="39" t="s">
        <v>1239</v>
      </c>
      <c r="D567" s="74" t="s">
        <v>1227</v>
      </c>
      <c r="E567" s="74" t="s">
        <v>1224</v>
      </c>
      <c r="F567" s="74" t="s">
        <v>1226</v>
      </c>
      <c r="G567" s="74" t="s">
        <v>1225</v>
      </c>
    </row>
    <row r="568" spans="1:7" x14ac:dyDescent="0.2">
      <c r="A568" s="39">
        <v>3313</v>
      </c>
      <c r="B568" s="38" t="s">
        <v>498</v>
      </c>
      <c r="C568" s="39" t="s">
        <v>1239</v>
      </c>
      <c r="D568" s="74" t="s">
        <v>1227</v>
      </c>
      <c r="E568" s="74" t="s">
        <v>1224</v>
      </c>
      <c r="F568" s="74" t="s">
        <v>1226</v>
      </c>
      <c r="G568" s="74" t="s">
        <v>1225</v>
      </c>
    </row>
    <row r="569" spans="1:7" x14ac:dyDescent="0.2">
      <c r="A569" s="39">
        <v>3314</v>
      </c>
      <c r="B569" s="38" t="s">
        <v>499</v>
      </c>
      <c r="C569" s="39" t="s">
        <v>1239</v>
      </c>
      <c r="D569" s="74" t="s">
        <v>1227</v>
      </c>
      <c r="E569" s="74" t="s">
        <v>1224</v>
      </c>
      <c r="F569" s="74" t="s">
        <v>1226</v>
      </c>
      <c r="G569" s="74" t="s">
        <v>1226</v>
      </c>
    </row>
    <row r="570" spans="1:7" x14ac:dyDescent="0.2">
      <c r="A570" s="39">
        <v>3321</v>
      </c>
      <c r="B570" s="38" t="s">
        <v>500</v>
      </c>
      <c r="C570" s="39" t="s">
        <v>1239</v>
      </c>
      <c r="D570" s="74" t="s">
        <v>1227</v>
      </c>
      <c r="E570" s="74" t="s">
        <v>1224</v>
      </c>
      <c r="F570" s="74" t="s">
        <v>1226</v>
      </c>
      <c r="G570" s="74" t="s">
        <v>1226</v>
      </c>
    </row>
    <row r="571" spans="1:7" x14ac:dyDescent="0.2">
      <c r="A571" s="39">
        <v>3322</v>
      </c>
      <c r="B571" s="38" t="s">
        <v>501</v>
      </c>
      <c r="C571" s="39" t="s">
        <v>1239</v>
      </c>
      <c r="D571" s="74" t="s">
        <v>1227</v>
      </c>
      <c r="E571" s="74" t="s">
        <v>1224</v>
      </c>
      <c r="F571" s="74" t="s">
        <v>1226</v>
      </c>
      <c r="G571" s="74" t="s">
        <v>1225</v>
      </c>
    </row>
    <row r="572" spans="1:7" x14ac:dyDescent="0.2">
      <c r="A572" s="39">
        <v>3323</v>
      </c>
      <c r="B572" s="38" t="s">
        <v>502</v>
      </c>
      <c r="C572" s="39" t="s">
        <v>1239</v>
      </c>
      <c r="D572" s="74" t="s">
        <v>1227</v>
      </c>
      <c r="E572" s="74" t="s">
        <v>1224</v>
      </c>
      <c r="F572" s="74" t="s">
        <v>1226</v>
      </c>
      <c r="G572" s="74" t="s">
        <v>1225</v>
      </c>
    </row>
    <row r="573" spans="1:7" x14ac:dyDescent="0.2">
      <c r="A573" s="39">
        <v>3324</v>
      </c>
      <c r="B573" s="38" t="s">
        <v>503</v>
      </c>
      <c r="C573" s="39" t="s">
        <v>1239</v>
      </c>
      <c r="D573" s="74" t="s">
        <v>1227</v>
      </c>
      <c r="E573" s="74" t="s">
        <v>1224</v>
      </c>
      <c r="F573" s="74" t="s">
        <v>1226</v>
      </c>
      <c r="G573" s="74" t="s">
        <v>1226</v>
      </c>
    </row>
    <row r="574" spans="1:7" x14ac:dyDescent="0.2">
      <c r="A574" s="39">
        <v>3325</v>
      </c>
      <c r="B574" s="38" t="s">
        <v>504</v>
      </c>
      <c r="C574" s="39" t="s">
        <v>1239</v>
      </c>
      <c r="D574" s="74" t="s">
        <v>1227</v>
      </c>
      <c r="E574" s="74" t="s">
        <v>1224</v>
      </c>
      <c r="F574" s="74" t="s">
        <v>1226</v>
      </c>
      <c r="G574" s="74" t="s">
        <v>1225</v>
      </c>
    </row>
    <row r="575" spans="1:7" x14ac:dyDescent="0.2">
      <c r="A575" s="39">
        <v>3331</v>
      </c>
      <c r="B575" s="38" t="s">
        <v>505</v>
      </c>
      <c r="C575" s="39" t="s">
        <v>1239</v>
      </c>
      <c r="D575" s="74" t="s">
        <v>1227</v>
      </c>
      <c r="E575" s="74" t="s">
        <v>1224</v>
      </c>
      <c r="F575" s="74" t="s">
        <v>1226</v>
      </c>
      <c r="G575" s="74" t="s">
        <v>1226</v>
      </c>
    </row>
    <row r="576" spans="1:7" x14ac:dyDescent="0.2">
      <c r="A576" s="39">
        <v>3332</v>
      </c>
      <c r="B576" s="38" t="s">
        <v>506</v>
      </c>
      <c r="C576" s="39" t="s">
        <v>1239</v>
      </c>
      <c r="D576" s="74" t="s">
        <v>1227</v>
      </c>
      <c r="E576" s="74" t="s">
        <v>1224</v>
      </c>
      <c r="F576" s="74" t="s">
        <v>1226</v>
      </c>
      <c r="G576" s="74" t="s">
        <v>1225</v>
      </c>
    </row>
    <row r="577" spans="1:7" x14ac:dyDescent="0.2">
      <c r="A577" s="39">
        <v>3333</v>
      </c>
      <c r="B577" s="38" t="s">
        <v>507</v>
      </c>
      <c r="C577" s="39" t="s">
        <v>1239</v>
      </c>
      <c r="D577" s="74" t="s">
        <v>1227</v>
      </c>
      <c r="E577" s="74" t="s">
        <v>1224</v>
      </c>
      <c r="F577" s="74" t="s">
        <v>1226</v>
      </c>
      <c r="G577" s="74" t="s">
        <v>1225</v>
      </c>
    </row>
    <row r="578" spans="1:7" x14ac:dyDescent="0.2">
      <c r="A578" s="39">
        <v>3334</v>
      </c>
      <c r="B578" s="38" t="s">
        <v>508</v>
      </c>
      <c r="C578" s="39" t="s">
        <v>509</v>
      </c>
      <c r="D578" s="74" t="s">
        <v>1227</v>
      </c>
      <c r="E578" s="74" t="s">
        <v>1224</v>
      </c>
      <c r="F578" s="74" t="s">
        <v>1226</v>
      </c>
      <c r="G578" s="74" t="s">
        <v>1226</v>
      </c>
    </row>
    <row r="579" spans="1:7" x14ac:dyDescent="0.2">
      <c r="A579" s="39">
        <v>3335</v>
      </c>
      <c r="B579" s="38" t="s">
        <v>510</v>
      </c>
      <c r="C579" s="39" t="s">
        <v>509</v>
      </c>
      <c r="D579" s="74" t="s">
        <v>1227</v>
      </c>
      <c r="E579" s="74" t="s">
        <v>1224</v>
      </c>
      <c r="F579" s="74" t="s">
        <v>1226</v>
      </c>
      <c r="G579" s="74" t="s">
        <v>1226</v>
      </c>
    </row>
    <row r="580" spans="1:7" x14ac:dyDescent="0.2">
      <c r="A580" s="39">
        <v>3340</v>
      </c>
      <c r="B580" s="38" t="s">
        <v>511</v>
      </c>
      <c r="C580" s="39" t="s">
        <v>1239</v>
      </c>
      <c r="D580" s="74" t="s">
        <v>1227</v>
      </c>
      <c r="E580" s="74" t="s">
        <v>1224</v>
      </c>
      <c r="F580" s="74" t="s">
        <v>1226</v>
      </c>
      <c r="G580" s="74" t="s">
        <v>1226</v>
      </c>
    </row>
    <row r="581" spans="1:7" x14ac:dyDescent="0.2">
      <c r="A581" s="39">
        <v>3341</v>
      </c>
      <c r="B581" s="38" t="s">
        <v>512</v>
      </c>
      <c r="C581" s="39" t="s">
        <v>1239</v>
      </c>
      <c r="D581" s="74" t="s">
        <v>1227</v>
      </c>
      <c r="E581" s="74" t="s">
        <v>1224</v>
      </c>
      <c r="F581" s="74" t="s">
        <v>1226</v>
      </c>
      <c r="G581" s="74" t="s">
        <v>1226</v>
      </c>
    </row>
    <row r="582" spans="1:7" x14ac:dyDescent="0.2">
      <c r="A582" s="39">
        <v>3342</v>
      </c>
      <c r="B582" s="38" t="s">
        <v>513</v>
      </c>
      <c r="C582" s="39" t="s">
        <v>1239</v>
      </c>
      <c r="D582" s="74" t="s">
        <v>1227</v>
      </c>
      <c r="E582" s="74" t="s">
        <v>1224</v>
      </c>
      <c r="F582" s="74" t="s">
        <v>1226</v>
      </c>
      <c r="G582" s="74" t="s">
        <v>1225</v>
      </c>
    </row>
    <row r="583" spans="1:7" x14ac:dyDescent="0.2">
      <c r="A583" s="39">
        <v>3343</v>
      </c>
      <c r="B583" s="38" t="s">
        <v>514</v>
      </c>
      <c r="C583" s="39" t="s">
        <v>1239</v>
      </c>
      <c r="D583" s="74" t="s">
        <v>1227</v>
      </c>
      <c r="E583" s="74" t="s">
        <v>1224</v>
      </c>
      <c r="F583" s="74" t="s">
        <v>1226</v>
      </c>
      <c r="G583" s="74" t="s">
        <v>1226</v>
      </c>
    </row>
    <row r="584" spans="1:7" x14ac:dyDescent="0.2">
      <c r="A584" s="39">
        <v>3344</v>
      </c>
      <c r="B584" s="38" t="s">
        <v>515</v>
      </c>
      <c r="C584" s="39" t="s">
        <v>1239</v>
      </c>
      <c r="D584" s="74" t="s">
        <v>1227</v>
      </c>
      <c r="E584" s="74" t="s">
        <v>1224</v>
      </c>
      <c r="F584" s="74" t="s">
        <v>1226</v>
      </c>
      <c r="G584" s="74" t="s">
        <v>1225</v>
      </c>
    </row>
    <row r="585" spans="1:7" x14ac:dyDescent="0.2">
      <c r="A585" s="39">
        <v>3345</v>
      </c>
      <c r="B585" s="38" t="s">
        <v>516</v>
      </c>
      <c r="C585" s="39" t="s">
        <v>1239</v>
      </c>
      <c r="D585" s="74" t="s">
        <v>1227</v>
      </c>
      <c r="E585" s="74" t="s">
        <v>1224</v>
      </c>
      <c r="F585" s="74" t="s">
        <v>1226</v>
      </c>
      <c r="G585" s="74" t="s">
        <v>1226</v>
      </c>
    </row>
    <row r="586" spans="1:7" x14ac:dyDescent="0.2">
      <c r="A586" s="39">
        <v>3350</v>
      </c>
      <c r="B586" s="38" t="s">
        <v>517</v>
      </c>
      <c r="C586" s="39" t="s">
        <v>1239</v>
      </c>
      <c r="D586" s="74" t="s">
        <v>1227</v>
      </c>
      <c r="E586" s="74" t="s">
        <v>1224</v>
      </c>
      <c r="F586" s="74" t="s">
        <v>1226</v>
      </c>
      <c r="G586" s="74" t="s">
        <v>1226</v>
      </c>
    </row>
    <row r="587" spans="1:7" x14ac:dyDescent="0.2">
      <c r="A587" s="39">
        <v>3351</v>
      </c>
      <c r="B587" s="38" t="s">
        <v>518</v>
      </c>
      <c r="C587" s="39" t="s">
        <v>1239</v>
      </c>
      <c r="D587" s="74" t="s">
        <v>1227</v>
      </c>
      <c r="E587" s="74" t="s">
        <v>1224</v>
      </c>
      <c r="F587" s="74" t="s">
        <v>1226</v>
      </c>
      <c r="G587" s="74" t="s">
        <v>1225</v>
      </c>
    </row>
    <row r="588" spans="1:7" x14ac:dyDescent="0.2">
      <c r="A588" s="39">
        <v>3352</v>
      </c>
      <c r="B588" s="38" t="s">
        <v>519</v>
      </c>
      <c r="C588" s="39" t="s">
        <v>1239</v>
      </c>
      <c r="D588" s="74" t="s">
        <v>1227</v>
      </c>
      <c r="E588" s="74" t="s">
        <v>1224</v>
      </c>
      <c r="F588" s="74" t="s">
        <v>1226</v>
      </c>
      <c r="G588" s="74" t="s">
        <v>1226</v>
      </c>
    </row>
    <row r="589" spans="1:7" x14ac:dyDescent="0.2">
      <c r="A589" s="39">
        <v>3353</v>
      </c>
      <c r="B589" s="38" t="s">
        <v>520</v>
      </c>
      <c r="C589" s="39" t="s">
        <v>1239</v>
      </c>
      <c r="D589" s="74" t="s">
        <v>1227</v>
      </c>
      <c r="E589" s="74" t="s">
        <v>1224</v>
      </c>
      <c r="F589" s="74" t="s">
        <v>1226</v>
      </c>
      <c r="G589" s="74" t="s">
        <v>1226</v>
      </c>
    </row>
    <row r="590" spans="1:7" x14ac:dyDescent="0.2">
      <c r="A590" s="39">
        <v>3354</v>
      </c>
      <c r="B590" s="38" t="s">
        <v>521</v>
      </c>
      <c r="C590" s="39" t="s">
        <v>1239</v>
      </c>
      <c r="D590" s="74" t="s">
        <v>1227</v>
      </c>
      <c r="E590" s="74" t="s">
        <v>1224</v>
      </c>
      <c r="F590" s="74" t="s">
        <v>1226</v>
      </c>
      <c r="G590" s="74" t="s">
        <v>1225</v>
      </c>
    </row>
    <row r="591" spans="1:7" x14ac:dyDescent="0.2">
      <c r="A591" s="39">
        <v>3355</v>
      </c>
      <c r="B591" s="38" t="s">
        <v>522</v>
      </c>
      <c r="C591" s="39" t="s">
        <v>1239</v>
      </c>
      <c r="D591" s="74" t="s">
        <v>1227</v>
      </c>
      <c r="E591" s="74" t="s">
        <v>1224</v>
      </c>
      <c r="F591" s="74" t="s">
        <v>1226</v>
      </c>
      <c r="G591" s="74" t="s">
        <v>1225</v>
      </c>
    </row>
    <row r="592" spans="1:7" x14ac:dyDescent="0.2">
      <c r="A592" s="39">
        <v>3361</v>
      </c>
      <c r="B592" s="38" t="s">
        <v>523</v>
      </c>
      <c r="C592" s="39" t="s">
        <v>1239</v>
      </c>
      <c r="D592" s="74" t="s">
        <v>1227</v>
      </c>
      <c r="E592" s="74" t="s">
        <v>1224</v>
      </c>
      <c r="F592" s="74" t="s">
        <v>1226</v>
      </c>
      <c r="G592" s="74" t="s">
        <v>1226</v>
      </c>
    </row>
    <row r="593" spans="1:7" x14ac:dyDescent="0.2">
      <c r="A593" s="39">
        <v>3362</v>
      </c>
      <c r="B593" s="38" t="s">
        <v>524</v>
      </c>
      <c r="C593" s="39" t="s">
        <v>1239</v>
      </c>
      <c r="D593" s="74" t="s">
        <v>1227</v>
      </c>
      <c r="E593" s="74" t="s">
        <v>1224</v>
      </c>
      <c r="F593" s="74" t="s">
        <v>1226</v>
      </c>
      <c r="G593" s="74" t="s">
        <v>1225</v>
      </c>
    </row>
    <row r="594" spans="1:7" x14ac:dyDescent="0.2">
      <c r="A594" s="39">
        <v>3363</v>
      </c>
      <c r="B594" s="38" t="s">
        <v>525</v>
      </c>
      <c r="C594" s="39" t="s">
        <v>1239</v>
      </c>
      <c r="D594" s="74" t="s">
        <v>1227</v>
      </c>
      <c r="E594" s="74" t="s">
        <v>1224</v>
      </c>
      <c r="F594" s="74" t="s">
        <v>1226</v>
      </c>
      <c r="G594" s="74" t="s">
        <v>1226</v>
      </c>
    </row>
    <row r="595" spans="1:7" x14ac:dyDescent="0.2">
      <c r="A595" s="39">
        <v>3364</v>
      </c>
      <c r="B595" s="38" t="s">
        <v>526</v>
      </c>
      <c r="C595" s="39" t="s">
        <v>1239</v>
      </c>
      <c r="D595" s="74" t="s">
        <v>1227</v>
      </c>
      <c r="E595" s="74" t="s">
        <v>1224</v>
      </c>
      <c r="F595" s="74" t="s">
        <v>1226</v>
      </c>
      <c r="G595" s="74" t="s">
        <v>1225</v>
      </c>
    </row>
    <row r="596" spans="1:7" x14ac:dyDescent="0.2">
      <c r="A596" s="39">
        <v>3365</v>
      </c>
      <c r="B596" s="38" t="s">
        <v>1928</v>
      </c>
      <c r="C596" s="39" t="s">
        <v>1239</v>
      </c>
      <c r="D596" s="74" t="s">
        <v>1227</v>
      </c>
      <c r="E596" s="74" t="s">
        <v>1224</v>
      </c>
      <c r="F596" s="74" t="s">
        <v>1226</v>
      </c>
      <c r="G596" s="74" t="s">
        <v>1225</v>
      </c>
    </row>
    <row r="597" spans="1:7" x14ac:dyDescent="0.2">
      <c r="A597" s="39">
        <v>3370</v>
      </c>
      <c r="B597" s="38" t="s">
        <v>1929</v>
      </c>
      <c r="C597" s="39" t="s">
        <v>1239</v>
      </c>
      <c r="D597" s="74" t="s">
        <v>1227</v>
      </c>
      <c r="E597" s="74" t="s">
        <v>1224</v>
      </c>
      <c r="F597" s="74" t="s">
        <v>1226</v>
      </c>
      <c r="G597" s="74" t="s">
        <v>1226</v>
      </c>
    </row>
    <row r="598" spans="1:7" x14ac:dyDescent="0.2">
      <c r="A598" s="39">
        <v>3371</v>
      </c>
      <c r="B598" s="38" t="s">
        <v>1930</v>
      </c>
      <c r="C598" s="39" t="s">
        <v>1239</v>
      </c>
      <c r="D598" s="74" t="s">
        <v>1227</v>
      </c>
      <c r="E598" s="74" t="s">
        <v>1224</v>
      </c>
      <c r="F598" s="74" t="s">
        <v>1226</v>
      </c>
      <c r="G598" s="74" t="s">
        <v>1225</v>
      </c>
    </row>
    <row r="599" spans="1:7" x14ac:dyDescent="0.2">
      <c r="A599" s="39">
        <v>3372</v>
      </c>
      <c r="B599" s="38" t="s">
        <v>1931</v>
      </c>
      <c r="C599" s="39" t="s">
        <v>1239</v>
      </c>
      <c r="D599" s="74" t="s">
        <v>1227</v>
      </c>
      <c r="E599" s="74" t="s">
        <v>1224</v>
      </c>
      <c r="F599" s="74" t="s">
        <v>1226</v>
      </c>
      <c r="G599" s="74" t="s">
        <v>1226</v>
      </c>
    </row>
    <row r="600" spans="1:7" x14ac:dyDescent="0.2">
      <c r="A600" s="39">
        <v>3373</v>
      </c>
      <c r="B600" s="38" t="s">
        <v>1932</v>
      </c>
      <c r="C600" s="39" t="s">
        <v>1239</v>
      </c>
      <c r="D600" s="74" t="s">
        <v>1227</v>
      </c>
      <c r="E600" s="74" t="s">
        <v>1224</v>
      </c>
      <c r="F600" s="74" t="s">
        <v>1226</v>
      </c>
      <c r="G600" s="74" t="s">
        <v>1226</v>
      </c>
    </row>
    <row r="601" spans="1:7" x14ac:dyDescent="0.2">
      <c r="A601" s="39">
        <v>3374</v>
      </c>
      <c r="B601" s="38" t="s">
        <v>1933</v>
      </c>
      <c r="C601" s="39" t="s">
        <v>1239</v>
      </c>
      <c r="D601" s="74" t="s">
        <v>1227</v>
      </c>
      <c r="E601" s="74" t="s">
        <v>1224</v>
      </c>
      <c r="F601" s="74" t="s">
        <v>1226</v>
      </c>
      <c r="G601" s="74" t="s">
        <v>1225</v>
      </c>
    </row>
    <row r="602" spans="1:7" x14ac:dyDescent="0.2">
      <c r="A602" s="39">
        <v>3375</v>
      </c>
      <c r="B602" s="38" t="s">
        <v>1934</v>
      </c>
      <c r="C602" s="39" t="s">
        <v>1239</v>
      </c>
      <c r="D602" s="74" t="s">
        <v>1227</v>
      </c>
      <c r="E602" s="74" t="s">
        <v>1224</v>
      </c>
      <c r="F602" s="74" t="s">
        <v>1226</v>
      </c>
      <c r="G602" s="74" t="s">
        <v>1225</v>
      </c>
    </row>
    <row r="603" spans="1:7" x14ac:dyDescent="0.2">
      <c r="A603" s="39">
        <v>3380</v>
      </c>
      <c r="B603" s="38" t="s">
        <v>1935</v>
      </c>
      <c r="C603" s="39" t="s">
        <v>1239</v>
      </c>
      <c r="D603" s="74" t="s">
        <v>1227</v>
      </c>
      <c r="E603" s="74" t="s">
        <v>1224</v>
      </c>
      <c r="F603" s="74" t="s">
        <v>1226</v>
      </c>
      <c r="G603" s="74" t="s">
        <v>1226</v>
      </c>
    </row>
    <row r="604" spans="1:7" x14ac:dyDescent="0.2">
      <c r="A604" s="39">
        <v>3381</v>
      </c>
      <c r="B604" s="38" t="s">
        <v>1936</v>
      </c>
      <c r="C604" s="39" t="s">
        <v>1239</v>
      </c>
      <c r="D604" s="74" t="s">
        <v>1227</v>
      </c>
      <c r="E604" s="74" t="s">
        <v>1224</v>
      </c>
      <c r="F604" s="74" t="s">
        <v>1226</v>
      </c>
      <c r="G604" s="74" t="s">
        <v>1225</v>
      </c>
    </row>
    <row r="605" spans="1:7" x14ac:dyDescent="0.2">
      <c r="A605" s="39">
        <v>3382</v>
      </c>
      <c r="B605" s="38" t="s">
        <v>1295</v>
      </c>
      <c r="C605" s="39" t="s">
        <v>1239</v>
      </c>
      <c r="D605" s="74" t="s">
        <v>1227</v>
      </c>
      <c r="E605" s="74" t="s">
        <v>1224</v>
      </c>
      <c r="F605" s="74" t="s">
        <v>1226</v>
      </c>
      <c r="G605" s="74" t="s">
        <v>1226</v>
      </c>
    </row>
    <row r="606" spans="1:7" x14ac:dyDescent="0.2">
      <c r="A606" s="39">
        <v>3383</v>
      </c>
      <c r="B606" s="38" t="s">
        <v>1937</v>
      </c>
      <c r="C606" s="39" t="s">
        <v>1239</v>
      </c>
      <c r="D606" s="74" t="s">
        <v>1227</v>
      </c>
      <c r="E606" s="74" t="s">
        <v>1224</v>
      </c>
      <c r="F606" s="74" t="s">
        <v>1226</v>
      </c>
      <c r="G606" s="74" t="s">
        <v>1226</v>
      </c>
    </row>
    <row r="607" spans="1:7" x14ac:dyDescent="0.2">
      <c r="A607" s="39">
        <v>3384</v>
      </c>
      <c r="B607" s="38" t="s">
        <v>1938</v>
      </c>
      <c r="C607" s="39" t="s">
        <v>1239</v>
      </c>
      <c r="D607" s="74" t="s">
        <v>1227</v>
      </c>
      <c r="E607" s="74" t="s">
        <v>1224</v>
      </c>
      <c r="F607" s="74" t="s">
        <v>1226</v>
      </c>
      <c r="G607" s="74" t="s">
        <v>1225</v>
      </c>
    </row>
    <row r="608" spans="1:7" x14ac:dyDescent="0.2">
      <c r="A608" s="39">
        <v>3385</v>
      </c>
      <c r="B608" s="38" t="s">
        <v>1939</v>
      </c>
      <c r="C608" s="39" t="s">
        <v>1239</v>
      </c>
      <c r="D608" s="74" t="s">
        <v>1227</v>
      </c>
      <c r="E608" s="74" t="s">
        <v>1224</v>
      </c>
      <c r="F608" s="74" t="s">
        <v>1226</v>
      </c>
      <c r="G608" s="74" t="s">
        <v>1226</v>
      </c>
    </row>
    <row r="609" spans="1:7" x14ac:dyDescent="0.2">
      <c r="A609" s="39">
        <v>3386</v>
      </c>
      <c r="B609" s="38" t="s">
        <v>1940</v>
      </c>
      <c r="C609" s="39" t="s">
        <v>1239</v>
      </c>
      <c r="D609" s="74" t="s">
        <v>1227</v>
      </c>
      <c r="E609" s="74" t="s">
        <v>1224</v>
      </c>
      <c r="F609" s="74" t="s">
        <v>1226</v>
      </c>
      <c r="G609" s="74" t="s">
        <v>1225</v>
      </c>
    </row>
    <row r="610" spans="1:7" x14ac:dyDescent="0.2">
      <c r="A610" s="39">
        <v>3390</v>
      </c>
      <c r="B610" s="38" t="s">
        <v>1941</v>
      </c>
      <c r="C610" s="39" t="s">
        <v>1239</v>
      </c>
      <c r="D610" s="74" t="s">
        <v>1227</v>
      </c>
      <c r="E610" s="74" t="s">
        <v>1224</v>
      </c>
      <c r="F610" s="74" t="s">
        <v>1226</v>
      </c>
      <c r="G610" s="74" t="s">
        <v>1226</v>
      </c>
    </row>
    <row r="611" spans="1:7" x14ac:dyDescent="0.2">
      <c r="A611" s="39">
        <v>3392</v>
      </c>
      <c r="B611" s="38" t="s">
        <v>1942</v>
      </c>
      <c r="C611" s="39" t="s">
        <v>1239</v>
      </c>
      <c r="D611" s="74" t="s">
        <v>1227</v>
      </c>
      <c r="E611" s="74" t="s">
        <v>1224</v>
      </c>
      <c r="F611" s="74" t="s">
        <v>1226</v>
      </c>
      <c r="G611" s="74" t="s">
        <v>1225</v>
      </c>
    </row>
    <row r="612" spans="1:7" x14ac:dyDescent="0.2">
      <c r="A612" s="39">
        <v>3393</v>
      </c>
      <c r="B612" s="38" t="s">
        <v>1943</v>
      </c>
      <c r="C612" s="39" t="s">
        <v>1239</v>
      </c>
      <c r="D612" s="74" t="s">
        <v>1227</v>
      </c>
      <c r="E612" s="74" t="s">
        <v>1224</v>
      </c>
      <c r="F612" s="74" t="s">
        <v>1226</v>
      </c>
      <c r="G612" s="74" t="s">
        <v>1225</v>
      </c>
    </row>
    <row r="613" spans="1:7" x14ac:dyDescent="0.2">
      <c r="A613" s="39">
        <v>3400</v>
      </c>
      <c r="B613" s="38" t="s">
        <v>1944</v>
      </c>
      <c r="C613" s="39" t="s">
        <v>1239</v>
      </c>
      <c r="D613" s="74" t="s">
        <v>1227</v>
      </c>
      <c r="E613" s="74" t="s">
        <v>1224</v>
      </c>
      <c r="F613" s="74" t="s">
        <v>1226</v>
      </c>
      <c r="G613" s="74" t="s">
        <v>1226</v>
      </c>
    </row>
    <row r="614" spans="1:7" x14ac:dyDescent="0.2">
      <c r="A614" s="39">
        <v>3403</v>
      </c>
      <c r="B614" s="38" t="s">
        <v>1944</v>
      </c>
      <c r="C614" s="39" t="s">
        <v>1239</v>
      </c>
      <c r="D614" s="74" t="s">
        <v>1229</v>
      </c>
      <c r="E614" s="74" t="s">
        <v>1224</v>
      </c>
      <c r="F614" s="74" t="s">
        <v>1225</v>
      </c>
      <c r="G614" s="74" t="s">
        <v>1226</v>
      </c>
    </row>
    <row r="615" spans="1:7" x14ac:dyDescent="0.2">
      <c r="A615" s="39">
        <v>3411</v>
      </c>
      <c r="B615" s="38" t="s">
        <v>1945</v>
      </c>
      <c r="C615" s="39" t="s">
        <v>1239</v>
      </c>
      <c r="D615" s="74" t="s">
        <v>1229</v>
      </c>
      <c r="E615" s="74" t="s">
        <v>1224</v>
      </c>
      <c r="F615" s="74" t="s">
        <v>1225</v>
      </c>
      <c r="G615" s="74" t="s">
        <v>1226</v>
      </c>
    </row>
    <row r="616" spans="1:7" x14ac:dyDescent="0.2">
      <c r="A616" s="39">
        <v>3412</v>
      </c>
      <c r="B616" s="38" t="s">
        <v>1946</v>
      </c>
      <c r="C616" s="39" t="s">
        <v>1239</v>
      </c>
      <c r="D616" s="74" t="s">
        <v>1229</v>
      </c>
      <c r="E616" s="74" t="s">
        <v>1224</v>
      </c>
      <c r="F616" s="74" t="s">
        <v>1225</v>
      </c>
      <c r="G616" s="74" t="s">
        <v>1226</v>
      </c>
    </row>
    <row r="617" spans="1:7" x14ac:dyDescent="0.2">
      <c r="A617" s="39">
        <v>3413</v>
      </c>
      <c r="B617" s="38" t="s">
        <v>1947</v>
      </c>
      <c r="C617" s="39" t="s">
        <v>1239</v>
      </c>
      <c r="D617" s="74" t="s">
        <v>1227</v>
      </c>
      <c r="E617" s="74" t="s">
        <v>1224</v>
      </c>
      <c r="F617" s="74" t="s">
        <v>1226</v>
      </c>
      <c r="G617" s="74" t="s">
        <v>1225</v>
      </c>
    </row>
    <row r="618" spans="1:7" x14ac:dyDescent="0.2">
      <c r="A618" s="39">
        <v>3420</v>
      </c>
      <c r="B618" s="38" t="s">
        <v>1948</v>
      </c>
      <c r="C618" s="39" t="s">
        <v>1239</v>
      </c>
      <c r="D618" s="74" t="s">
        <v>1227</v>
      </c>
      <c r="E618" s="74" t="s">
        <v>1224</v>
      </c>
      <c r="F618" s="74" t="s">
        <v>1226</v>
      </c>
      <c r="G618" s="74" t="s">
        <v>1226</v>
      </c>
    </row>
    <row r="619" spans="1:7" x14ac:dyDescent="0.2">
      <c r="A619" s="39">
        <v>3421</v>
      </c>
      <c r="B619" s="38" t="s">
        <v>1949</v>
      </c>
      <c r="C619" s="39" t="s">
        <v>1239</v>
      </c>
      <c r="D619" s="74" t="s">
        <v>1227</v>
      </c>
      <c r="E619" s="74" t="s">
        <v>1224</v>
      </c>
      <c r="F619" s="74" t="s">
        <v>1226</v>
      </c>
      <c r="G619" s="74" t="s">
        <v>1225</v>
      </c>
    </row>
    <row r="620" spans="1:7" x14ac:dyDescent="0.2">
      <c r="A620" s="39">
        <v>3422</v>
      </c>
      <c r="B620" s="38" t="s">
        <v>1950</v>
      </c>
      <c r="C620" s="39" t="s">
        <v>1239</v>
      </c>
      <c r="D620" s="74" t="s">
        <v>1227</v>
      </c>
      <c r="E620" s="74" t="s">
        <v>1224</v>
      </c>
      <c r="F620" s="74" t="s">
        <v>1226</v>
      </c>
      <c r="G620" s="74" t="s">
        <v>1225</v>
      </c>
    </row>
    <row r="621" spans="1:7" x14ac:dyDescent="0.2">
      <c r="A621" s="39">
        <v>3423</v>
      </c>
      <c r="B621" s="38" t="s">
        <v>1951</v>
      </c>
      <c r="C621" s="39" t="s">
        <v>1239</v>
      </c>
      <c r="D621" s="74" t="s">
        <v>1227</v>
      </c>
      <c r="E621" s="74" t="s">
        <v>1224</v>
      </c>
      <c r="F621" s="74" t="s">
        <v>1226</v>
      </c>
      <c r="G621" s="74" t="s">
        <v>1226</v>
      </c>
    </row>
    <row r="622" spans="1:7" x14ac:dyDescent="0.2">
      <c r="A622" s="39">
        <v>3424</v>
      </c>
      <c r="B622" s="38" t="s">
        <v>1952</v>
      </c>
      <c r="C622" s="39" t="s">
        <v>1239</v>
      </c>
      <c r="D622" s="74" t="s">
        <v>1227</v>
      </c>
      <c r="E622" s="74" t="s">
        <v>1224</v>
      </c>
      <c r="F622" s="74" t="s">
        <v>1226</v>
      </c>
      <c r="G622" s="74" t="s">
        <v>1226</v>
      </c>
    </row>
    <row r="623" spans="1:7" x14ac:dyDescent="0.2">
      <c r="A623" s="39">
        <v>3425</v>
      </c>
      <c r="B623" s="38" t="s">
        <v>1953</v>
      </c>
      <c r="C623" s="39" t="s">
        <v>1239</v>
      </c>
      <c r="D623" s="74" t="s">
        <v>1227</v>
      </c>
      <c r="E623" s="74" t="s">
        <v>1224</v>
      </c>
      <c r="F623" s="74" t="s">
        <v>1226</v>
      </c>
      <c r="G623" s="74" t="s">
        <v>1226</v>
      </c>
    </row>
    <row r="624" spans="1:7" x14ac:dyDescent="0.2">
      <c r="A624" s="39">
        <v>3430</v>
      </c>
      <c r="B624" s="38" t="s">
        <v>1954</v>
      </c>
      <c r="C624" s="39" t="s">
        <v>1239</v>
      </c>
      <c r="D624" s="74" t="s">
        <v>1227</v>
      </c>
      <c r="E624" s="74" t="s">
        <v>1224</v>
      </c>
      <c r="F624" s="74" t="s">
        <v>1226</v>
      </c>
      <c r="G624" s="74" t="s">
        <v>1226</v>
      </c>
    </row>
    <row r="625" spans="1:7" x14ac:dyDescent="0.2">
      <c r="A625" s="39">
        <v>3433</v>
      </c>
      <c r="B625" s="38" t="s">
        <v>1955</v>
      </c>
      <c r="C625" s="39" t="s">
        <v>1239</v>
      </c>
      <c r="D625" s="74" t="s">
        <v>1227</v>
      </c>
      <c r="E625" s="74" t="s">
        <v>1224</v>
      </c>
      <c r="F625" s="74" t="s">
        <v>1226</v>
      </c>
      <c r="G625" s="74" t="s">
        <v>1225</v>
      </c>
    </row>
    <row r="626" spans="1:7" x14ac:dyDescent="0.2">
      <c r="A626" s="39">
        <v>3434</v>
      </c>
      <c r="B626" s="38" t="s">
        <v>1956</v>
      </c>
      <c r="C626" s="39" t="s">
        <v>1239</v>
      </c>
      <c r="D626" s="74" t="s">
        <v>1227</v>
      </c>
      <c r="E626" s="74" t="s">
        <v>1224</v>
      </c>
      <c r="F626" s="74" t="s">
        <v>1226</v>
      </c>
      <c r="G626" s="74" t="s">
        <v>1226</v>
      </c>
    </row>
    <row r="627" spans="1:7" x14ac:dyDescent="0.2">
      <c r="A627" s="39">
        <v>3435</v>
      </c>
      <c r="B627" s="38" t="s">
        <v>1957</v>
      </c>
      <c r="C627" s="39" t="s">
        <v>1239</v>
      </c>
      <c r="D627" s="74" t="s">
        <v>1227</v>
      </c>
      <c r="E627" s="74" t="s">
        <v>1224</v>
      </c>
      <c r="F627" s="74" t="s">
        <v>1226</v>
      </c>
      <c r="G627" s="74" t="s">
        <v>1226</v>
      </c>
    </row>
    <row r="628" spans="1:7" x14ac:dyDescent="0.2">
      <c r="A628" s="39">
        <v>3441</v>
      </c>
      <c r="B628" s="38" t="s">
        <v>1958</v>
      </c>
      <c r="C628" s="39" t="s">
        <v>1239</v>
      </c>
      <c r="D628" s="74" t="s">
        <v>1227</v>
      </c>
      <c r="E628" s="74" t="s">
        <v>1224</v>
      </c>
      <c r="F628" s="74" t="s">
        <v>1226</v>
      </c>
      <c r="G628" s="74" t="s">
        <v>1225</v>
      </c>
    </row>
    <row r="629" spans="1:7" x14ac:dyDescent="0.2">
      <c r="A629" s="39">
        <v>3442</v>
      </c>
      <c r="B629" s="38" t="s">
        <v>1959</v>
      </c>
      <c r="C629" s="39" t="s">
        <v>1239</v>
      </c>
      <c r="D629" s="74" t="s">
        <v>1227</v>
      </c>
      <c r="E629" s="74" t="s">
        <v>1224</v>
      </c>
      <c r="F629" s="74" t="s">
        <v>1226</v>
      </c>
      <c r="G629" s="74" t="s">
        <v>1225</v>
      </c>
    </row>
    <row r="630" spans="1:7" x14ac:dyDescent="0.2">
      <c r="A630" s="39">
        <v>3443</v>
      </c>
      <c r="B630" s="38" t="s">
        <v>1960</v>
      </c>
      <c r="C630" s="39" t="s">
        <v>1239</v>
      </c>
      <c r="D630" s="74" t="s">
        <v>1227</v>
      </c>
      <c r="E630" s="74" t="s">
        <v>1224</v>
      </c>
      <c r="F630" s="74" t="s">
        <v>1226</v>
      </c>
      <c r="G630" s="74" t="s">
        <v>1226</v>
      </c>
    </row>
    <row r="631" spans="1:7" x14ac:dyDescent="0.2">
      <c r="A631" s="39">
        <v>3451</v>
      </c>
      <c r="B631" s="38" t="s">
        <v>1961</v>
      </c>
      <c r="C631" s="39" t="s">
        <v>1239</v>
      </c>
      <c r="D631" s="74" t="s">
        <v>1227</v>
      </c>
      <c r="E631" s="74" t="s">
        <v>1224</v>
      </c>
      <c r="F631" s="74" t="s">
        <v>1226</v>
      </c>
      <c r="G631" s="74" t="s">
        <v>1226</v>
      </c>
    </row>
    <row r="632" spans="1:7" x14ac:dyDescent="0.2">
      <c r="A632" s="39">
        <v>3452</v>
      </c>
      <c r="B632" s="38" t="s">
        <v>1962</v>
      </c>
      <c r="C632" s="39" t="s">
        <v>1239</v>
      </c>
      <c r="D632" s="74" t="s">
        <v>1227</v>
      </c>
      <c r="E632" s="74" t="s">
        <v>1224</v>
      </c>
      <c r="F632" s="74" t="s">
        <v>1226</v>
      </c>
      <c r="G632" s="74" t="s">
        <v>1226</v>
      </c>
    </row>
    <row r="633" spans="1:7" x14ac:dyDescent="0.2">
      <c r="A633" s="39">
        <v>3454</v>
      </c>
      <c r="B633" s="38" t="s">
        <v>1963</v>
      </c>
      <c r="C633" s="39" t="s">
        <v>1239</v>
      </c>
      <c r="D633" s="74" t="s">
        <v>1227</v>
      </c>
      <c r="E633" s="74" t="s">
        <v>1224</v>
      </c>
      <c r="F633" s="74" t="s">
        <v>1226</v>
      </c>
      <c r="G633" s="74" t="s">
        <v>1226</v>
      </c>
    </row>
    <row r="634" spans="1:7" x14ac:dyDescent="0.2">
      <c r="A634" s="39">
        <v>3462</v>
      </c>
      <c r="B634" s="38" t="s">
        <v>1964</v>
      </c>
      <c r="C634" s="39" t="s">
        <v>1239</v>
      </c>
      <c r="D634" s="74" t="s">
        <v>1227</v>
      </c>
      <c r="E634" s="74" t="s">
        <v>1224</v>
      </c>
      <c r="F634" s="74" t="s">
        <v>1226</v>
      </c>
      <c r="G634" s="74" t="s">
        <v>1226</v>
      </c>
    </row>
    <row r="635" spans="1:7" x14ac:dyDescent="0.2">
      <c r="A635" s="39">
        <v>3463</v>
      </c>
      <c r="B635" s="38" t="s">
        <v>1965</v>
      </c>
      <c r="C635" s="39" t="s">
        <v>1239</v>
      </c>
      <c r="D635" s="74" t="s">
        <v>1227</v>
      </c>
      <c r="E635" s="74" t="s">
        <v>1224</v>
      </c>
      <c r="F635" s="74" t="s">
        <v>1226</v>
      </c>
      <c r="G635" s="74" t="s">
        <v>1225</v>
      </c>
    </row>
    <row r="636" spans="1:7" x14ac:dyDescent="0.2">
      <c r="A636" s="39">
        <v>3464</v>
      </c>
      <c r="B636" s="38" t="s">
        <v>1966</v>
      </c>
      <c r="C636" s="39" t="s">
        <v>1239</v>
      </c>
      <c r="D636" s="74" t="s">
        <v>1227</v>
      </c>
      <c r="E636" s="74" t="s">
        <v>1224</v>
      </c>
      <c r="F636" s="74" t="s">
        <v>1226</v>
      </c>
      <c r="G636" s="74" t="s">
        <v>1226</v>
      </c>
    </row>
    <row r="637" spans="1:7" x14ac:dyDescent="0.2">
      <c r="A637" s="39">
        <v>3465</v>
      </c>
      <c r="B637" s="38" t="s">
        <v>1967</v>
      </c>
      <c r="C637" s="39" t="s">
        <v>1239</v>
      </c>
      <c r="D637" s="74" t="s">
        <v>1227</v>
      </c>
      <c r="E637" s="74" t="s">
        <v>1224</v>
      </c>
      <c r="F637" s="74" t="s">
        <v>1226</v>
      </c>
      <c r="G637" s="74" t="s">
        <v>1226</v>
      </c>
    </row>
    <row r="638" spans="1:7" x14ac:dyDescent="0.2">
      <c r="A638" s="39">
        <v>3470</v>
      </c>
      <c r="B638" s="38" t="s">
        <v>1968</v>
      </c>
      <c r="C638" s="39" t="s">
        <v>1239</v>
      </c>
      <c r="D638" s="74" t="s">
        <v>1227</v>
      </c>
      <c r="E638" s="74" t="s">
        <v>1224</v>
      </c>
      <c r="F638" s="74" t="s">
        <v>1226</v>
      </c>
      <c r="G638" s="74" t="s">
        <v>1226</v>
      </c>
    </row>
    <row r="639" spans="1:7" x14ac:dyDescent="0.2">
      <c r="A639" s="39">
        <v>3471</v>
      </c>
      <c r="B639" s="38" t="s">
        <v>1969</v>
      </c>
      <c r="C639" s="39" t="s">
        <v>1239</v>
      </c>
      <c r="D639" s="74" t="s">
        <v>1227</v>
      </c>
      <c r="E639" s="74" t="s">
        <v>1224</v>
      </c>
      <c r="F639" s="74" t="s">
        <v>1226</v>
      </c>
      <c r="G639" s="74" t="s">
        <v>1226</v>
      </c>
    </row>
    <row r="640" spans="1:7" x14ac:dyDescent="0.2">
      <c r="A640" s="39">
        <v>3472</v>
      </c>
      <c r="B640" s="38" t="s">
        <v>1970</v>
      </c>
      <c r="C640" s="39" t="s">
        <v>1239</v>
      </c>
      <c r="D640" s="74" t="s">
        <v>1227</v>
      </c>
      <c r="E640" s="74" t="s">
        <v>1224</v>
      </c>
      <c r="F640" s="74" t="s">
        <v>1226</v>
      </c>
      <c r="G640" s="74" t="s">
        <v>1225</v>
      </c>
    </row>
    <row r="641" spans="1:7" x14ac:dyDescent="0.2">
      <c r="A641" s="39">
        <v>3473</v>
      </c>
      <c r="B641" s="38" t="s">
        <v>1971</v>
      </c>
      <c r="C641" s="39" t="s">
        <v>1239</v>
      </c>
      <c r="D641" s="74" t="s">
        <v>1227</v>
      </c>
      <c r="E641" s="74" t="s">
        <v>1224</v>
      </c>
      <c r="F641" s="74" t="s">
        <v>1226</v>
      </c>
      <c r="G641" s="74" t="s">
        <v>1225</v>
      </c>
    </row>
    <row r="642" spans="1:7" x14ac:dyDescent="0.2">
      <c r="A642" s="39">
        <v>3474</v>
      </c>
      <c r="B642" s="38" t="s">
        <v>1974</v>
      </c>
      <c r="C642" s="39" t="s">
        <v>1239</v>
      </c>
      <c r="D642" s="74" t="s">
        <v>1227</v>
      </c>
      <c r="E642" s="74" t="s">
        <v>1224</v>
      </c>
      <c r="F642" s="74" t="s">
        <v>1226</v>
      </c>
      <c r="G642" s="74" t="s">
        <v>1225</v>
      </c>
    </row>
    <row r="643" spans="1:7" x14ac:dyDescent="0.2">
      <c r="A643" s="39">
        <v>3481</v>
      </c>
      <c r="B643" s="38" t="s">
        <v>1976</v>
      </c>
      <c r="C643" s="39" t="s">
        <v>1239</v>
      </c>
      <c r="D643" s="74" t="s">
        <v>1227</v>
      </c>
      <c r="E643" s="74" t="s">
        <v>1224</v>
      </c>
      <c r="F643" s="74" t="s">
        <v>1226</v>
      </c>
      <c r="G643" s="74" t="s">
        <v>1226</v>
      </c>
    </row>
    <row r="644" spans="1:7" x14ac:dyDescent="0.2">
      <c r="A644" s="39">
        <v>3482</v>
      </c>
      <c r="B644" s="38" t="s">
        <v>1977</v>
      </c>
      <c r="C644" s="39" t="s">
        <v>1239</v>
      </c>
      <c r="D644" s="74" t="s">
        <v>1227</v>
      </c>
      <c r="E644" s="74" t="s">
        <v>1224</v>
      </c>
      <c r="F644" s="74" t="s">
        <v>1226</v>
      </c>
      <c r="G644" s="74" t="s">
        <v>1225</v>
      </c>
    </row>
    <row r="645" spans="1:7" x14ac:dyDescent="0.2">
      <c r="A645" s="39">
        <v>3483</v>
      </c>
      <c r="B645" s="38" t="s">
        <v>1978</v>
      </c>
      <c r="C645" s="39" t="s">
        <v>1239</v>
      </c>
      <c r="D645" s="74" t="s">
        <v>1227</v>
      </c>
      <c r="E645" s="74" t="s">
        <v>1224</v>
      </c>
      <c r="F645" s="74" t="s">
        <v>1226</v>
      </c>
      <c r="G645" s="74" t="s">
        <v>1225</v>
      </c>
    </row>
    <row r="646" spans="1:7" x14ac:dyDescent="0.2">
      <c r="A646" s="39">
        <v>3484</v>
      </c>
      <c r="B646" s="38" t="s">
        <v>1979</v>
      </c>
      <c r="C646" s="39" t="s">
        <v>1239</v>
      </c>
      <c r="D646" s="74" t="s">
        <v>1227</v>
      </c>
      <c r="E646" s="74" t="s">
        <v>1224</v>
      </c>
      <c r="F646" s="74" t="s">
        <v>1226</v>
      </c>
      <c r="G646" s="74" t="s">
        <v>1226</v>
      </c>
    </row>
    <row r="647" spans="1:7" x14ac:dyDescent="0.2">
      <c r="A647" s="39">
        <v>3485</v>
      </c>
      <c r="B647" s="38" t="s">
        <v>1980</v>
      </c>
      <c r="C647" s="39" t="s">
        <v>1239</v>
      </c>
      <c r="D647" s="74" t="s">
        <v>1227</v>
      </c>
      <c r="E647" s="74" t="s">
        <v>1224</v>
      </c>
      <c r="F647" s="74" t="s">
        <v>1226</v>
      </c>
      <c r="G647" s="74" t="s">
        <v>1225</v>
      </c>
    </row>
    <row r="648" spans="1:7" x14ac:dyDescent="0.2">
      <c r="A648" s="39">
        <v>3491</v>
      </c>
      <c r="B648" s="38" t="s">
        <v>1981</v>
      </c>
      <c r="C648" s="39" t="s">
        <v>1239</v>
      </c>
      <c r="D648" s="74" t="s">
        <v>1227</v>
      </c>
      <c r="E648" s="74" t="s">
        <v>1224</v>
      </c>
      <c r="F648" s="74" t="s">
        <v>1226</v>
      </c>
      <c r="G648" s="74" t="s">
        <v>1226</v>
      </c>
    </row>
    <row r="649" spans="1:7" x14ac:dyDescent="0.2">
      <c r="A649" s="39">
        <v>3492</v>
      </c>
      <c r="B649" s="38" t="s">
        <v>1982</v>
      </c>
      <c r="C649" s="39" t="s">
        <v>1239</v>
      </c>
      <c r="D649" s="74" t="s">
        <v>1227</v>
      </c>
      <c r="E649" s="74" t="s">
        <v>1224</v>
      </c>
      <c r="F649" s="74" t="s">
        <v>1226</v>
      </c>
      <c r="G649" s="74" t="s">
        <v>1226</v>
      </c>
    </row>
    <row r="650" spans="1:7" x14ac:dyDescent="0.2">
      <c r="A650" s="39">
        <v>3493</v>
      </c>
      <c r="B650" s="38" t="s">
        <v>1983</v>
      </c>
      <c r="C650" s="39" t="s">
        <v>1239</v>
      </c>
      <c r="D650" s="74" t="s">
        <v>1227</v>
      </c>
      <c r="E650" s="74" t="s">
        <v>1224</v>
      </c>
      <c r="F650" s="74" t="s">
        <v>1226</v>
      </c>
      <c r="G650" s="74" t="s">
        <v>1226</v>
      </c>
    </row>
    <row r="651" spans="1:7" x14ac:dyDescent="0.2">
      <c r="A651" s="39">
        <v>3494</v>
      </c>
      <c r="B651" s="38" t="s">
        <v>1984</v>
      </c>
      <c r="C651" s="39" t="s">
        <v>1239</v>
      </c>
      <c r="D651" s="74" t="s">
        <v>1227</v>
      </c>
      <c r="E651" s="74" t="s">
        <v>1224</v>
      </c>
      <c r="F651" s="74" t="s">
        <v>1226</v>
      </c>
      <c r="G651" s="74" t="s">
        <v>1226</v>
      </c>
    </row>
    <row r="652" spans="1:7" x14ac:dyDescent="0.2">
      <c r="A652" s="39">
        <v>3495</v>
      </c>
      <c r="B652" s="38" t="s">
        <v>1985</v>
      </c>
      <c r="C652" s="39" t="s">
        <v>1239</v>
      </c>
      <c r="D652" s="74" t="s">
        <v>1227</v>
      </c>
      <c r="E652" s="74" t="s">
        <v>1224</v>
      </c>
      <c r="F652" s="74" t="s">
        <v>1226</v>
      </c>
      <c r="G652" s="74" t="s">
        <v>1225</v>
      </c>
    </row>
    <row r="653" spans="1:7" x14ac:dyDescent="0.2">
      <c r="A653" s="39">
        <v>3500</v>
      </c>
      <c r="B653" s="38" t="s">
        <v>1986</v>
      </c>
      <c r="C653" s="39" t="s">
        <v>1239</v>
      </c>
      <c r="D653" s="74" t="s">
        <v>1227</v>
      </c>
      <c r="E653" s="74" t="s">
        <v>1224</v>
      </c>
      <c r="F653" s="74" t="s">
        <v>1226</v>
      </c>
      <c r="G653" s="74" t="s">
        <v>1226</v>
      </c>
    </row>
    <row r="654" spans="1:7" x14ac:dyDescent="0.2">
      <c r="A654" s="39">
        <v>3502</v>
      </c>
      <c r="B654" s="38" t="s">
        <v>1987</v>
      </c>
      <c r="C654" s="39" t="s">
        <v>1239</v>
      </c>
      <c r="D654" s="74" t="s">
        <v>1229</v>
      </c>
      <c r="E654" s="74" t="s">
        <v>1224</v>
      </c>
      <c r="F654" s="74" t="s">
        <v>1225</v>
      </c>
      <c r="G654" s="74" t="s">
        <v>1226</v>
      </c>
    </row>
    <row r="655" spans="1:7" x14ac:dyDescent="0.2">
      <c r="A655" s="39">
        <v>3504</v>
      </c>
      <c r="B655" s="38" t="s">
        <v>1988</v>
      </c>
      <c r="C655" s="39" t="s">
        <v>1239</v>
      </c>
      <c r="D655" s="74" t="s">
        <v>1229</v>
      </c>
      <c r="E655" s="74" t="s">
        <v>1224</v>
      </c>
      <c r="F655" s="74" t="s">
        <v>1225</v>
      </c>
      <c r="G655" s="74" t="s">
        <v>1226</v>
      </c>
    </row>
    <row r="656" spans="1:7" x14ac:dyDescent="0.2">
      <c r="A656" s="39">
        <v>3506</v>
      </c>
      <c r="B656" s="38" t="s">
        <v>1989</v>
      </c>
      <c r="C656" s="39" t="s">
        <v>1239</v>
      </c>
      <c r="D656" s="74" t="s">
        <v>1227</v>
      </c>
      <c r="E656" s="74" t="s">
        <v>1224</v>
      </c>
      <c r="F656" s="74" t="s">
        <v>1226</v>
      </c>
      <c r="G656" s="74" t="s">
        <v>1225</v>
      </c>
    </row>
    <row r="657" spans="1:7" x14ac:dyDescent="0.2">
      <c r="A657" s="39">
        <v>3507</v>
      </c>
      <c r="B657" s="38" t="s">
        <v>1990</v>
      </c>
      <c r="C657" s="39" t="s">
        <v>1239</v>
      </c>
      <c r="D657" s="74" t="s">
        <v>1229</v>
      </c>
      <c r="E657" s="74" t="s">
        <v>1224</v>
      </c>
      <c r="F657" s="74" t="s">
        <v>1225</v>
      </c>
      <c r="G657" s="74" t="s">
        <v>1226</v>
      </c>
    </row>
    <row r="658" spans="1:7" x14ac:dyDescent="0.2">
      <c r="A658" s="39">
        <v>3508</v>
      </c>
      <c r="B658" s="38" t="s">
        <v>1991</v>
      </c>
      <c r="C658" s="39" t="s">
        <v>1239</v>
      </c>
      <c r="D658" s="74" t="s">
        <v>1227</v>
      </c>
      <c r="E658" s="74" t="s">
        <v>1224</v>
      </c>
      <c r="F658" s="74" t="s">
        <v>1226</v>
      </c>
      <c r="G658" s="74" t="s">
        <v>1225</v>
      </c>
    </row>
    <row r="659" spans="1:7" x14ac:dyDescent="0.2">
      <c r="A659" s="39">
        <v>3511</v>
      </c>
      <c r="B659" s="38" t="s">
        <v>1992</v>
      </c>
      <c r="C659" s="39" t="s">
        <v>1239</v>
      </c>
      <c r="D659" s="74" t="s">
        <v>1227</v>
      </c>
      <c r="E659" s="74" t="s">
        <v>1224</v>
      </c>
      <c r="F659" s="74" t="s">
        <v>1226</v>
      </c>
      <c r="G659" s="74" t="s">
        <v>1226</v>
      </c>
    </row>
    <row r="660" spans="1:7" x14ac:dyDescent="0.2">
      <c r="A660" s="39">
        <v>3512</v>
      </c>
      <c r="B660" s="38" t="s">
        <v>1993</v>
      </c>
      <c r="C660" s="39" t="s">
        <v>1239</v>
      </c>
      <c r="D660" s="74" t="s">
        <v>1227</v>
      </c>
      <c r="E660" s="74" t="s">
        <v>1224</v>
      </c>
      <c r="F660" s="74" t="s">
        <v>1226</v>
      </c>
      <c r="G660" s="74" t="s">
        <v>1226</v>
      </c>
    </row>
    <row r="661" spans="1:7" x14ac:dyDescent="0.2">
      <c r="A661" s="39">
        <v>3521</v>
      </c>
      <c r="B661" s="38" t="s">
        <v>1994</v>
      </c>
      <c r="C661" s="39" t="s">
        <v>1239</v>
      </c>
      <c r="D661" s="74" t="s">
        <v>1227</v>
      </c>
      <c r="E661" s="74" t="s">
        <v>1224</v>
      </c>
      <c r="F661" s="74" t="s">
        <v>1226</v>
      </c>
      <c r="G661" s="74" t="s">
        <v>1225</v>
      </c>
    </row>
    <row r="662" spans="1:7" x14ac:dyDescent="0.2">
      <c r="A662" s="39">
        <v>3522</v>
      </c>
      <c r="B662" s="38" t="s">
        <v>1995</v>
      </c>
      <c r="C662" s="39" t="s">
        <v>1239</v>
      </c>
      <c r="D662" s="74" t="s">
        <v>1227</v>
      </c>
      <c r="E662" s="74" t="s">
        <v>1224</v>
      </c>
      <c r="F662" s="74" t="s">
        <v>1226</v>
      </c>
      <c r="G662" s="74" t="s">
        <v>1225</v>
      </c>
    </row>
    <row r="663" spans="1:7" x14ac:dyDescent="0.2">
      <c r="A663" s="39">
        <v>3524</v>
      </c>
      <c r="B663" s="38" t="s">
        <v>1996</v>
      </c>
      <c r="C663" s="39" t="s">
        <v>1239</v>
      </c>
      <c r="D663" s="74" t="s">
        <v>1227</v>
      </c>
      <c r="E663" s="74" t="s">
        <v>1224</v>
      </c>
      <c r="F663" s="74" t="s">
        <v>1226</v>
      </c>
      <c r="G663" s="74" t="s">
        <v>1226</v>
      </c>
    </row>
    <row r="664" spans="1:7" x14ac:dyDescent="0.2">
      <c r="A664" s="39">
        <v>3525</v>
      </c>
      <c r="B664" s="38" t="s">
        <v>1997</v>
      </c>
      <c r="C664" s="39" t="s">
        <v>1239</v>
      </c>
      <c r="D664" s="74" t="s">
        <v>1227</v>
      </c>
      <c r="E664" s="74" t="s">
        <v>1224</v>
      </c>
      <c r="F664" s="74" t="s">
        <v>1226</v>
      </c>
      <c r="G664" s="74" t="s">
        <v>1225</v>
      </c>
    </row>
    <row r="665" spans="1:7" x14ac:dyDescent="0.2">
      <c r="A665" s="39">
        <v>3531</v>
      </c>
      <c r="B665" s="38" t="s">
        <v>2000</v>
      </c>
      <c r="C665" s="39" t="s">
        <v>1239</v>
      </c>
      <c r="D665" s="74" t="s">
        <v>1227</v>
      </c>
      <c r="E665" s="74" t="s">
        <v>1224</v>
      </c>
      <c r="F665" s="74" t="s">
        <v>1226</v>
      </c>
      <c r="G665" s="74" t="s">
        <v>1225</v>
      </c>
    </row>
    <row r="666" spans="1:7" x14ac:dyDescent="0.2">
      <c r="A666" s="39">
        <v>3532</v>
      </c>
      <c r="B666" s="38" t="s">
        <v>2001</v>
      </c>
      <c r="C666" s="39" t="s">
        <v>1239</v>
      </c>
      <c r="D666" s="74" t="s">
        <v>1227</v>
      </c>
      <c r="E666" s="74" t="s">
        <v>1224</v>
      </c>
      <c r="F666" s="74" t="s">
        <v>1226</v>
      </c>
      <c r="G666" s="74" t="s">
        <v>1226</v>
      </c>
    </row>
    <row r="667" spans="1:7" x14ac:dyDescent="0.2">
      <c r="A667" s="39">
        <v>3533</v>
      </c>
      <c r="B667" s="38" t="s">
        <v>2002</v>
      </c>
      <c r="C667" s="39" t="s">
        <v>1239</v>
      </c>
      <c r="D667" s="74" t="s">
        <v>1227</v>
      </c>
      <c r="E667" s="74" t="s">
        <v>1224</v>
      </c>
      <c r="F667" s="74" t="s">
        <v>1226</v>
      </c>
      <c r="G667" s="74" t="s">
        <v>1225</v>
      </c>
    </row>
    <row r="668" spans="1:7" x14ac:dyDescent="0.2">
      <c r="A668" s="39">
        <v>3541</v>
      </c>
      <c r="B668" s="38" t="s">
        <v>2003</v>
      </c>
      <c r="C668" s="39" t="s">
        <v>1239</v>
      </c>
      <c r="D668" s="74" t="s">
        <v>1227</v>
      </c>
      <c r="E668" s="74" t="s">
        <v>1224</v>
      </c>
      <c r="F668" s="74" t="s">
        <v>1226</v>
      </c>
      <c r="G668" s="74" t="s">
        <v>1226</v>
      </c>
    </row>
    <row r="669" spans="1:7" x14ac:dyDescent="0.2">
      <c r="A669" s="39">
        <v>3542</v>
      </c>
      <c r="B669" s="38" t="s">
        <v>2004</v>
      </c>
      <c r="C669" s="39" t="s">
        <v>1239</v>
      </c>
      <c r="D669" s="74" t="s">
        <v>1227</v>
      </c>
      <c r="E669" s="74" t="s">
        <v>1224</v>
      </c>
      <c r="F669" s="74" t="s">
        <v>1226</v>
      </c>
      <c r="G669" s="74" t="s">
        <v>1226</v>
      </c>
    </row>
    <row r="670" spans="1:7" x14ac:dyDescent="0.2">
      <c r="A670" s="39">
        <v>3543</v>
      </c>
      <c r="B670" s="38" t="s">
        <v>2005</v>
      </c>
      <c r="C670" s="39" t="s">
        <v>1239</v>
      </c>
      <c r="D670" s="74" t="s">
        <v>1227</v>
      </c>
      <c r="E670" s="74" t="s">
        <v>1224</v>
      </c>
      <c r="F670" s="74" t="s">
        <v>1226</v>
      </c>
      <c r="G670" s="74" t="s">
        <v>1225</v>
      </c>
    </row>
    <row r="671" spans="1:7" x14ac:dyDescent="0.2">
      <c r="A671" s="39">
        <v>3544</v>
      </c>
      <c r="B671" s="38" t="s">
        <v>2006</v>
      </c>
      <c r="C671" s="39" t="s">
        <v>1239</v>
      </c>
      <c r="D671" s="74" t="s">
        <v>1227</v>
      </c>
      <c r="E671" s="74" t="s">
        <v>1224</v>
      </c>
      <c r="F671" s="74" t="s">
        <v>1226</v>
      </c>
      <c r="G671" s="74" t="s">
        <v>1225</v>
      </c>
    </row>
    <row r="672" spans="1:7" x14ac:dyDescent="0.2">
      <c r="A672" s="39">
        <v>3550</v>
      </c>
      <c r="B672" s="38" t="s">
        <v>2007</v>
      </c>
      <c r="C672" s="39" t="s">
        <v>1239</v>
      </c>
      <c r="D672" s="74" t="s">
        <v>1227</v>
      </c>
      <c r="E672" s="74" t="s">
        <v>1224</v>
      </c>
      <c r="F672" s="74" t="s">
        <v>1226</v>
      </c>
      <c r="G672" s="74" t="s">
        <v>1226</v>
      </c>
    </row>
    <row r="673" spans="1:7" x14ac:dyDescent="0.2">
      <c r="A673" s="39">
        <v>3552</v>
      </c>
      <c r="B673" s="38" t="s">
        <v>2008</v>
      </c>
      <c r="C673" s="39" t="s">
        <v>1239</v>
      </c>
      <c r="D673" s="74" t="s">
        <v>1227</v>
      </c>
      <c r="E673" s="74" t="s">
        <v>1224</v>
      </c>
      <c r="F673" s="74" t="s">
        <v>1226</v>
      </c>
      <c r="G673" s="74" t="s">
        <v>1226</v>
      </c>
    </row>
    <row r="674" spans="1:7" x14ac:dyDescent="0.2">
      <c r="A674" s="39">
        <v>3553</v>
      </c>
      <c r="B674" s="38" t="s">
        <v>2009</v>
      </c>
      <c r="C674" s="39" t="s">
        <v>1239</v>
      </c>
      <c r="D674" s="74" t="s">
        <v>1227</v>
      </c>
      <c r="E674" s="74" t="s">
        <v>1224</v>
      </c>
      <c r="F674" s="74" t="s">
        <v>1226</v>
      </c>
      <c r="G674" s="74" t="s">
        <v>1226</v>
      </c>
    </row>
    <row r="675" spans="1:7" x14ac:dyDescent="0.2">
      <c r="A675" s="39">
        <v>3561</v>
      </c>
      <c r="B675" s="38" t="s">
        <v>2010</v>
      </c>
      <c r="C675" s="39" t="s">
        <v>1239</v>
      </c>
      <c r="D675" s="74" t="s">
        <v>1227</v>
      </c>
      <c r="E675" s="74" t="s">
        <v>1224</v>
      </c>
      <c r="F675" s="74" t="s">
        <v>1226</v>
      </c>
      <c r="G675" s="74" t="s">
        <v>1225</v>
      </c>
    </row>
    <row r="676" spans="1:7" x14ac:dyDescent="0.2">
      <c r="A676" s="39">
        <v>3562</v>
      </c>
      <c r="B676" s="38" t="s">
        <v>2011</v>
      </c>
      <c r="C676" s="39" t="s">
        <v>1239</v>
      </c>
      <c r="D676" s="74" t="s">
        <v>1227</v>
      </c>
      <c r="E676" s="74" t="s">
        <v>1224</v>
      </c>
      <c r="F676" s="74" t="s">
        <v>1226</v>
      </c>
      <c r="G676" s="74" t="s">
        <v>1225</v>
      </c>
    </row>
    <row r="677" spans="1:7" x14ac:dyDescent="0.2">
      <c r="A677" s="39">
        <v>3564</v>
      </c>
      <c r="B677" s="38" t="s">
        <v>2012</v>
      </c>
      <c r="C677" s="39" t="s">
        <v>1239</v>
      </c>
      <c r="D677" s="74" t="s">
        <v>1227</v>
      </c>
      <c r="E677" s="74" t="s">
        <v>1224</v>
      </c>
      <c r="F677" s="74" t="s">
        <v>1226</v>
      </c>
      <c r="G677" s="74" t="s">
        <v>1225</v>
      </c>
    </row>
    <row r="678" spans="1:7" x14ac:dyDescent="0.2">
      <c r="A678" s="39">
        <v>3571</v>
      </c>
      <c r="B678" s="38" t="s">
        <v>2013</v>
      </c>
      <c r="C678" s="39" t="s">
        <v>1239</v>
      </c>
      <c r="D678" s="74" t="s">
        <v>1227</v>
      </c>
      <c r="E678" s="74" t="s">
        <v>1224</v>
      </c>
      <c r="F678" s="74" t="s">
        <v>1226</v>
      </c>
      <c r="G678" s="74" t="s">
        <v>1226</v>
      </c>
    </row>
    <row r="679" spans="1:7" x14ac:dyDescent="0.2">
      <c r="A679" s="39">
        <v>3572</v>
      </c>
      <c r="B679" s="38" t="s">
        <v>2014</v>
      </c>
      <c r="C679" s="39" t="s">
        <v>1239</v>
      </c>
      <c r="D679" s="74" t="s">
        <v>1227</v>
      </c>
      <c r="E679" s="74" t="s">
        <v>1224</v>
      </c>
      <c r="F679" s="74" t="s">
        <v>1226</v>
      </c>
      <c r="G679" s="74" t="s">
        <v>1225</v>
      </c>
    </row>
    <row r="680" spans="1:7" x14ac:dyDescent="0.2">
      <c r="A680" s="39">
        <v>3573</v>
      </c>
      <c r="B680" s="38" t="s">
        <v>2015</v>
      </c>
      <c r="C680" s="39" t="s">
        <v>1239</v>
      </c>
      <c r="D680" s="74" t="s">
        <v>1227</v>
      </c>
      <c r="E680" s="74" t="s">
        <v>1224</v>
      </c>
      <c r="F680" s="74" t="s">
        <v>1226</v>
      </c>
      <c r="G680" s="74" t="s">
        <v>1225</v>
      </c>
    </row>
    <row r="681" spans="1:7" x14ac:dyDescent="0.2">
      <c r="A681" s="39">
        <v>3580</v>
      </c>
      <c r="B681" s="38" t="s">
        <v>2016</v>
      </c>
      <c r="C681" s="39" t="s">
        <v>1239</v>
      </c>
      <c r="D681" s="74" t="s">
        <v>1227</v>
      </c>
      <c r="E681" s="74" t="s">
        <v>1224</v>
      </c>
      <c r="F681" s="74" t="s">
        <v>1226</v>
      </c>
      <c r="G681" s="74" t="s">
        <v>1226</v>
      </c>
    </row>
    <row r="682" spans="1:7" x14ac:dyDescent="0.2">
      <c r="A682" s="39">
        <v>3591</v>
      </c>
      <c r="B682" s="38" t="s">
        <v>2017</v>
      </c>
      <c r="C682" s="39" t="s">
        <v>1239</v>
      </c>
      <c r="D682" s="74" t="s">
        <v>1227</v>
      </c>
      <c r="E682" s="74" t="s">
        <v>1224</v>
      </c>
      <c r="F682" s="74" t="s">
        <v>1226</v>
      </c>
      <c r="G682" s="74" t="s">
        <v>1225</v>
      </c>
    </row>
    <row r="683" spans="1:7" x14ac:dyDescent="0.2">
      <c r="A683" s="39">
        <v>3592</v>
      </c>
      <c r="B683" s="38" t="s">
        <v>2018</v>
      </c>
      <c r="C683" s="39" t="s">
        <v>1239</v>
      </c>
      <c r="D683" s="74" t="s">
        <v>1227</v>
      </c>
      <c r="E683" s="74" t="s">
        <v>1224</v>
      </c>
      <c r="F683" s="74" t="s">
        <v>1226</v>
      </c>
      <c r="G683" s="74" t="s">
        <v>1225</v>
      </c>
    </row>
    <row r="684" spans="1:7" x14ac:dyDescent="0.2">
      <c r="A684" s="39">
        <v>3593</v>
      </c>
      <c r="B684" s="38" t="s">
        <v>2019</v>
      </c>
      <c r="C684" s="39" t="s">
        <v>1239</v>
      </c>
      <c r="D684" s="74" t="s">
        <v>1227</v>
      </c>
      <c r="E684" s="74" t="s">
        <v>1224</v>
      </c>
      <c r="F684" s="74" t="s">
        <v>1226</v>
      </c>
      <c r="G684" s="74" t="s">
        <v>1226</v>
      </c>
    </row>
    <row r="685" spans="1:7" x14ac:dyDescent="0.2">
      <c r="A685" s="39">
        <v>3594</v>
      </c>
      <c r="B685" s="38" t="s">
        <v>2020</v>
      </c>
      <c r="C685" s="39" t="s">
        <v>1239</v>
      </c>
      <c r="D685" s="74" t="s">
        <v>1227</v>
      </c>
      <c r="E685" s="74" t="s">
        <v>1224</v>
      </c>
      <c r="F685" s="74" t="s">
        <v>1226</v>
      </c>
      <c r="G685" s="74" t="s">
        <v>1225</v>
      </c>
    </row>
    <row r="686" spans="1:7" x14ac:dyDescent="0.2">
      <c r="A686" s="39">
        <v>3595</v>
      </c>
      <c r="B686" s="38" t="s">
        <v>2021</v>
      </c>
      <c r="C686" s="39" t="s">
        <v>1239</v>
      </c>
      <c r="D686" s="74" t="s">
        <v>1227</v>
      </c>
      <c r="E686" s="74" t="s">
        <v>1224</v>
      </c>
      <c r="F686" s="74" t="s">
        <v>1226</v>
      </c>
      <c r="G686" s="74" t="s">
        <v>1225</v>
      </c>
    </row>
    <row r="687" spans="1:7" x14ac:dyDescent="0.2">
      <c r="A687" s="39">
        <v>3601</v>
      </c>
      <c r="B687" s="38" t="s">
        <v>2022</v>
      </c>
      <c r="C687" s="39" t="s">
        <v>1239</v>
      </c>
      <c r="D687" s="74" t="s">
        <v>1227</v>
      </c>
      <c r="E687" s="74" t="s">
        <v>1224</v>
      </c>
      <c r="F687" s="74" t="s">
        <v>1226</v>
      </c>
      <c r="G687" s="74" t="s">
        <v>1225</v>
      </c>
    </row>
    <row r="688" spans="1:7" x14ac:dyDescent="0.2">
      <c r="A688" s="39">
        <v>3602</v>
      </c>
      <c r="B688" s="38" t="s">
        <v>2023</v>
      </c>
      <c r="C688" s="39" t="s">
        <v>1239</v>
      </c>
      <c r="D688" s="74" t="s">
        <v>1227</v>
      </c>
      <c r="E688" s="74" t="s">
        <v>1224</v>
      </c>
      <c r="F688" s="74" t="s">
        <v>1226</v>
      </c>
      <c r="G688" s="74" t="s">
        <v>1225</v>
      </c>
    </row>
    <row r="689" spans="1:7" x14ac:dyDescent="0.2">
      <c r="A689" s="39">
        <v>3610</v>
      </c>
      <c r="B689" s="38" t="s">
        <v>2024</v>
      </c>
      <c r="C689" s="39" t="s">
        <v>1239</v>
      </c>
      <c r="D689" s="74" t="s">
        <v>1227</v>
      </c>
      <c r="E689" s="74" t="s">
        <v>1224</v>
      </c>
      <c r="F689" s="74" t="s">
        <v>1226</v>
      </c>
      <c r="G689" s="74" t="s">
        <v>1226</v>
      </c>
    </row>
    <row r="690" spans="1:7" x14ac:dyDescent="0.2">
      <c r="A690" s="39">
        <v>3611</v>
      </c>
      <c r="B690" s="38" t="s">
        <v>2025</v>
      </c>
      <c r="C690" s="39" t="s">
        <v>1239</v>
      </c>
      <c r="D690" s="74" t="s">
        <v>1227</v>
      </c>
      <c r="E690" s="74" t="s">
        <v>1224</v>
      </c>
      <c r="F690" s="74" t="s">
        <v>1226</v>
      </c>
      <c r="G690" s="74" t="s">
        <v>1226</v>
      </c>
    </row>
    <row r="691" spans="1:7" x14ac:dyDescent="0.2">
      <c r="A691" s="39">
        <v>3613</v>
      </c>
      <c r="B691" s="38" t="s">
        <v>527</v>
      </c>
      <c r="C691" s="39" t="s">
        <v>1239</v>
      </c>
      <c r="D691" s="74" t="s">
        <v>1227</v>
      </c>
      <c r="E691" s="74" t="s">
        <v>1224</v>
      </c>
      <c r="F691" s="74" t="s">
        <v>1226</v>
      </c>
      <c r="G691" s="74" t="s">
        <v>1225</v>
      </c>
    </row>
    <row r="692" spans="1:7" x14ac:dyDescent="0.2">
      <c r="A692" s="39">
        <v>3620</v>
      </c>
      <c r="B692" s="38" t="s">
        <v>528</v>
      </c>
      <c r="C692" s="39" t="s">
        <v>1239</v>
      </c>
      <c r="D692" s="74" t="s">
        <v>1227</v>
      </c>
      <c r="E692" s="74" t="s">
        <v>1224</v>
      </c>
      <c r="F692" s="74" t="s">
        <v>1226</v>
      </c>
      <c r="G692" s="74" t="s">
        <v>1226</v>
      </c>
    </row>
    <row r="693" spans="1:7" x14ac:dyDescent="0.2">
      <c r="A693" s="39">
        <v>3621</v>
      </c>
      <c r="B693" s="38" t="s">
        <v>529</v>
      </c>
      <c r="C693" s="39" t="s">
        <v>1239</v>
      </c>
      <c r="D693" s="74" t="s">
        <v>1227</v>
      </c>
      <c r="E693" s="74" t="s">
        <v>1224</v>
      </c>
      <c r="F693" s="74" t="s">
        <v>1226</v>
      </c>
      <c r="G693" s="74" t="s">
        <v>1225</v>
      </c>
    </row>
    <row r="694" spans="1:7" x14ac:dyDescent="0.2">
      <c r="A694" s="39">
        <v>3622</v>
      </c>
      <c r="B694" s="38" t="s">
        <v>530</v>
      </c>
      <c r="C694" s="39" t="s">
        <v>1239</v>
      </c>
      <c r="D694" s="74" t="s">
        <v>1227</v>
      </c>
      <c r="E694" s="74" t="s">
        <v>1224</v>
      </c>
      <c r="F694" s="74" t="s">
        <v>1226</v>
      </c>
      <c r="G694" s="74" t="s">
        <v>1226</v>
      </c>
    </row>
    <row r="695" spans="1:7" x14ac:dyDescent="0.2">
      <c r="A695" s="39">
        <v>3623</v>
      </c>
      <c r="B695" s="38" t="s">
        <v>531</v>
      </c>
      <c r="C695" s="39" t="s">
        <v>1239</v>
      </c>
      <c r="D695" s="74" t="s">
        <v>1227</v>
      </c>
      <c r="E695" s="74" t="s">
        <v>1224</v>
      </c>
      <c r="F695" s="74" t="s">
        <v>1226</v>
      </c>
      <c r="G695" s="74" t="s">
        <v>1225</v>
      </c>
    </row>
    <row r="696" spans="1:7" x14ac:dyDescent="0.2">
      <c r="A696" s="39">
        <v>3631</v>
      </c>
      <c r="B696" s="38" t="s">
        <v>532</v>
      </c>
      <c r="C696" s="39" t="s">
        <v>1239</v>
      </c>
      <c r="D696" s="74" t="s">
        <v>1227</v>
      </c>
      <c r="E696" s="74" t="s">
        <v>1224</v>
      </c>
      <c r="F696" s="74" t="s">
        <v>1226</v>
      </c>
      <c r="G696" s="74" t="s">
        <v>1226</v>
      </c>
    </row>
    <row r="697" spans="1:7" x14ac:dyDescent="0.2">
      <c r="A697" s="39">
        <v>3632</v>
      </c>
      <c r="B697" s="38" t="s">
        <v>533</v>
      </c>
      <c r="C697" s="39" t="s">
        <v>1239</v>
      </c>
      <c r="D697" s="74" t="s">
        <v>1227</v>
      </c>
      <c r="E697" s="74" t="s">
        <v>1224</v>
      </c>
      <c r="F697" s="74" t="s">
        <v>1226</v>
      </c>
      <c r="G697" s="74" t="s">
        <v>1226</v>
      </c>
    </row>
    <row r="698" spans="1:7" x14ac:dyDescent="0.2">
      <c r="A698" s="39">
        <v>3633</v>
      </c>
      <c r="B698" s="38" t="s">
        <v>534</v>
      </c>
      <c r="C698" s="39" t="s">
        <v>1239</v>
      </c>
      <c r="D698" s="74" t="s">
        <v>1227</v>
      </c>
      <c r="E698" s="74" t="s">
        <v>1224</v>
      </c>
      <c r="F698" s="74" t="s">
        <v>1226</v>
      </c>
      <c r="G698" s="74" t="s">
        <v>1225</v>
      </c>
    </row>
    <row r="699" spans="1:7" x14ac:dyDescent="0.2">
      <c r="A699" s="39">
        <v>3641</v>
      </c>
      <c r="B699" s="38" t="s">
        <v>535</v>
      </c>
      <c r="C699" s="39" t="s">
        <v>1239</v>
      </c>
      <c r="D699" s="74" t="s">
        <v>1227</v>
      </c>
      <c r="E699" s="74" t="s">
        <v>1224</v>
      </c>
      <c r="F699" s="74" t="s">
        <v>1226</v>
      </c>
      <c r="G699" s="74" t="s">
        <v>1225</v>
      </c>
    </row>
    <row r="700" spans="1:7" x14ac:dyDescent="0.2">
      <c r="A700" s="39">
        <v>3642</v>
      </c>
      <c r="B700" s="38" t="s">
        <v>536</v>
      </c>
      <c r="C700" s="39" t="s">
        <v>1239</v>
      </c>
      <c r="D700" s="74" t="s">
        <v>1227</v>
      </c>
      <c r="E700" s="74" t="s">
        <v>1224</v>
      </c>
      <c r="F700" s="74" t="s">
        <v>1226</v>
      </c>
      <c r="G700" s="74" t="s">
        <v>1225</v>
      </c>
    </row>
    <row r="701" spans="1:7" x14ac:dyDescent="0.2">
      <c r="A701" s="39">
        <v>3643</v>
      </c>
      <c r="B701" s="38" t="s">
        <v>537</v>
      </c>
      <c r="C701" s="39" t="s">
        <v>1239</v>
      </c>
      <c r="D701" s="74" t="s">
        <v>1227</v>
      </c>
      <c r="E701" s="74" t="s">
        <v>1224</v>
      </c>
      <c r="F701" s="74" t="s">
        <v>1226</v>
      </c>
      <c r="G701" s="74" t="s">
        <v>1226</v>
      </c>
    </row>
    <row r="702" spans="1:7" x14ac:dyDescent="0.2">
      <c r="A702" s="39">
        <v>3644</v>
      </c>
      <c r="B702" s="38" t="s">
        <v>538</v>
      </c>
      <c r="C702" s="39" t="s">
        <v>1239</v>
      </c>
      <c r="D702" s="74" t="s">
        <v>1227</v>
      </c>
      <c r="E702" s="74" t="s">
        <v>1224</v>
      </c>
      <c r="F702" s="74" t="s">
        <v>1226</v>
      </c>
      <c r="G702" s="74" t="s">
        <v>1225</v>
      </c>
    </row>
    <row r="703" spans="1:7" x14ac:dyDescent="0.2">
      <c r="A703" s="39">
        <v>3650</v>
      </c>
      <c r="B703" s="38" t="s">
        <v>539</v>
      </c>
      <c r="C703" s="39" t="s">
        <v>1239</v>
      </c>
      <c r="D703" s="74" t="s">
        <v>1227</v>
      </c>
      <c r="E703" s="74" t="s">
        <v>1224</v>
      </c>
      <c r="F703" s="74" t="s">
        <v>1226</v>
      </c>
      <c r="G703" s="74" t="s">
        <v>1226</v>
      </c>
    </row>
    <row r="704" spans="1:7" x14ac:dyDescent="0.2">
      <c r="A704" s="39">
        <v>3652</v>
      </c>
      <c r="B704" s="38" t="s">
        <v>540</v>
      </c>
      <c r="C704" s="39" t="s">
        <v>1239</v>
      </c>
      <c r="D704" s="74" t="s">
        <v>1227</v>
      </c>
      <c r="E704" s="74" t="s">
        <v>1224</v>
      </c>
      <c r="F704" s="74" t="s">
        <v>1226</v>
      </c>
      <c r="G704" s="74" t="s">
        <v>1225</v>
      </c>
    </row>
    <row r="705" spans="1:7" x14ac:dyDescent="0.2">
      <c r="A705" s="39">
        <v>3653</v>
      </c>
      <c r="B705" s="38" t="s">
        <v>541</v>
      </c>
      <c r="C705" s="39" t="s">
        <v>1239</v>
      </c>
      <c r="D705" s="74" t="s">
        <v>1227</v>
      </c>
      <c r="E705" s="74" t="s">
        <v>1224</v>
      </c>
      <c r="F705" s="74" t="s">
        <v>1226</v>
      </c>
      <c r="G705" s="74" t="s">
        <v>1226</v>
      </c>
    </row>
    <row r="706" spans="1:7" x14ac:dyDescent="0.2">
      <c r="A706" s="39">
        <v>3654</v>
      </c>
      <c r="B706" s="38" t="s">
        <v>542</v>
      </c>
      <c r="C706" s="39" t="s">
        <v>1239</v>
      </c>
      <c r="D706" s="74" t="s">
        <v>1227</v>
      </c>
      <c r="E706" s="74" t="s">
        <v>1224</v>
      </c>
      <c r="F706" s="74" t="s">
        <v>1226</v>
      </c>
      <c r="G706" s="74" t="s">
        <v>1226</v>
      </c>
    </row>
    <row r="707" spans="1:7" x14ac:dyDescent="0.2">
      <c r="A707" s="39">
        <v>3660</v>
      </c>
      <c r="B707" s="38" t="s">
        <v>543</v>
      </c>
      <c r="C707" s="39" t="s">
        <v>1239</v>
      </c>
      <c r="D707" s="74" t="s">
        <v>1227</v>
      </c>
      <c r="E707" s="74" t="s">
        <v>1224</v>
      </c>
      <c r="F707" s="74" t="s">
        <v>1226</v>
      </c>
      <c r="G707" s="74" t="s">
        <v>1225</v>
      </c>
    </row>
    <row r="708" spans="1:7" x14ac:dyDescent="0.2">
      <c r="A708" s="39">
        <v>3661</v>
      </c>
      <c r="B708" s="38" t="s">
        <v>544</v>
      </c>
      <c r="C708" s="39" t="s">
        <v>1239</v>
      </c>
      <c r="D708" s="74" t="s">
        <v>1227</v>
      </c>
      <c r="E708" s="74" t="s">
        <v>1224</v>
      </c>
      <c r="F708" s="74" t="s">
        <v>1226</v>
      </c>
      <c r="G708" s="74" t="s">
        <v>1226</v>
      </c>
    </row>
    <row r="709" spans="1:7" x14ac:dyDescent="0.2">
      <c r="A709" s="39">
        <v>3662</v>
      </c>
      <c r="B709" s="38" t="s">
        <v>545</v>
      </c>
      <c r="C709" s="39" t="s">
        <v>1239</v>
      </c>
      <c r="D709" s="74" t="s">
        <v>1227</v>
      </c>
      <c r="E709" s="74" t="s">
        <v>1224</v>
      </c>
      <c r="F709" s="74" t="s">
        <v>1226</v>
      </c>
      <c r="G709" s="74" t="s">
        <v>1225</v>
      </c>
    </row>
    <row r="710" spans="1:7" x14ac:dyDescent="0.2">
      <c r="A710" s="39">
        <v>3663</v>
      </c>
      <c r="B710" s="38" t="s">
        <v>546</v>
      </c>
      <c r="C710" s="39" t="s">
        <v>1239</v>
      </c>
      <c r="D710" s="74" t="s">
        <v>1227</v>
      </c>
      <c r="E710" s="74" t="s">
        <v>1224</v>
      </c>
      <c r="F710" s="74" t="s">
        <v>1226</v>
      </c>
      <c r="G710" s="74" t="s">
        <v>1225</v>
      </c>
    </row>
    <row r="711" spans="1:7" x14ac:dyDescent="0.2">
      <c r="A711" s="39">
        <v>3664</v>
      </c>
      <c r="B711" s="38" t="s">
        <v>547</v>
      </c>
      <c r="C711" s="39" t="s">
        <v>1239</v>
      </c>
      <c r="D711" s="74" t="s">
        <v>1227</v>
      </c>
      <c r="E711" s="74" t="s">
        <v>1224</v>
      </c>
      <c r="F711" s="74" t="s">
        <v>1226</v>
      </c>
      <c r="G711" s="74" t="s">
        <v>1226</v>
      </c>
    </row>
    <row r="712" spans="1:7" x14ac:dyDescent="0.2">
      <c r="A712" s="39">
        <v>3665</v>
      </c>
      <c r="B712" s="38" t="s">
        <v>548</v>
      </c>
      <c r="C712" s="39" t="s">
        <v>1239</v>
      </c>
      <c r="D712" s="74" t="s">
        <v>1227</v>
      </c>
      <c r="E712" s="74" t="s">
        <v>1224</v>
      </c>
      <c r="F712" s="74" t="s">
        <v>1226</v>
      </c>
      <c r="G712" s="74" t="s">
        <v>1225</v>
      </c>
    </row>
    <row r="713" spans="1:7" x14ac:dyDescent="0.2">
      <c r="A713" s="39">
        <v>3671</v>
      </c>
      <c r="B713" s="38" t="s">
        <v>549</v>
      </c>
      <c r="C713" s="39" t="s">
        <v>1239</v>
      </c>
      <c r="D713" s="74" t="s">
        <v>1227</v>
      </c>
      <c r="E713" s="74" t="s">
        <v>1224</v>
      </c>
      <c r="F713" s="74" t="s">
        <v>1226</v>
      </c>
      <c r="G713" s="74" t="s">
        <v>1226</v>
      </c>
    </row>
    <row r="714" spans="1:7" x14ac:dyDescent="0.2">
      <c r="A714" s="39">
        <v>3672</v>
      </c>
      <c r="B714" s="38" t="s">
        <v>550</v>
      </c>
      <c r="C714" s="39" t="s">
        <v>1239</v>
      </c>
      <c r="D714" s="74" t="s">
        <v>1227</v>
      </c>
      <c r="E714" s="74" t="s">
        <v>1224</v>
      </c>
      <c r="F714" s="74" t="s">
        <v>1226</v>
      </c>
      <c r="G714" s="74" t="s">
        <v>1226</v>
      </c>
    </row>
    <row r="715" spans="1:7" x14ac:dyDescent="0.2">
      <c r="A715" s="39">
        <v>3680</v>
      </c>
      <c r="B715" s="38" t="s">
        <v>551</v>
      </c>
      <c r="C715" s="39" t="s">
        <v>1239</v>
      </c>
      <c r="D715" s="74" t="s">
        <v>1227</v>
      </c>
      <c r="E715" s="74" t="s">
        <v>1224</v>
      </c>
      <c r="F715" s="74" t="s">
        <v>1226</v>
      </c>
      <c r="G715" s="74" t="s">
        <v>1226</v>
      </c>
    </row>
    <row r="716" spans="1:7" x14ac:dyDescent="0.2">
      <c r="A716" s="39">
        <v>3683</v>
      </c>
      <c r="B716" s="38" t="s">
        <v>552</v>
      </c>
      <c r="C716" s="39" t="s">
        <v>1239</v>
      </c>
      <c r="D716" s="74" t="s">
        <v>1227</v>
      </c>
      <c r="E716" s="74" t="s">
        <v>1224</v>
      </c>
      <c r="F716" s="74" t="s">
        <v>1226</v>
      </c>
      <c r="G716" s="74" t="s">
        <v>1226</v>
      </c>
    </row>
    <row r="717" spans="1:7" x14ac:dyDescent="0.2">
      <c r="A717" s="39">
        <v>3684</v>
      </c>
      <c r="B717" s="38" t="s">
        <v>553</v>
      </c>
      <c r="C717" s="39" t="s">
        <v>1239</v>
      </c>
      <c r="D717" s="74" t="s">
        <v>1227</v>
      </c>
      <c r="E717" s="74" t="s">
        <v>1224</v>
      </c>
      <c r="F717" s="74" t="s">
        <v>1226</v>
      </c>
      <c r="G717" s="74" t="s">
        <v>1225</v>
      </c>
    </row>
    <row r="718" spans="1:7" x14ac:dyDescent="0.2">
      <c r="A718" s="39">
        <v>3691</v>
      </c>
      <c r="B718" s="38" t="s">
        <v>554</v>
      </c>
      <c r="C718" s="39" t="s">
        <v>1239</v>
      </c>
      <c r="D718" s="74" t="s">
        <v>1227</v>
      </c>
      <c r="E718" s="74" t="s">
        <v>1224</v>
      </c>
      <c r="F718" s="74" t="s">
        <v>1226</v>
      </c>
      <c r="G718" s="74" t="s">
        <v>1225</v>
      </c>
    </row>
    <row r="719" spans="1:7" x14ac:dyDescent="0.2">
      <c r="A719" s="39">
        <v>3701</v>
      </c>
      <c r="B719" s="38" t="s">
        <v>555</v>
      </c>
      <c r="C719" s="39" t="s">
        <v>1239</v>
      </c>
      <c r="D719" s="74" t="s">
        <v>1227</v>
      </c>
      <c r="E719" s="74" t="s">
        <v>1224</v>
      </c>
      <c r="F719" s="74" t="s">
        <v>1226</v>
      </c>
      <c r="G719" s="74" t="s">
        <v>1226</v>
      </c>
    </row>
    <row r="720" spans="1:7" x14ac:dyDescent="0.2">
      <c r="A720" s="39">
        <v>3702</v>
      </c>
      <c r="B720" s="38" t="s">
        <v>556</v>
      </c>
      <c r="C720" s="39" t="s">
        <v>1239</v>
      </c>
      <c r="D720" s="74" t="s">
        <v>1227</v>
      </c>
      <c r="E720" s="74" t="s">
        <v>1224</v>
      </c>
      <c r="F720" s="74" t="s">
        <v>1226</v>
      </c>
      <c r="G720" s="74" t="s">
        <v>1225</v>
      </c>
    </row>
    <row r="721" spans="1:7" x14ac:dyDescent="0.2">
      <c r="A721" s="39">
        <v>3704</v>
      </c>
      <c r="B721" s="38" t="s">
        <v>557</v>
      </c>
      <c r="C721" s="39" t="s">
        <v>1239</v>
      </c>
      <c r="D721" s="74" t="s">
        <v>1227</v>
      </c>
      <c r="E721" s="74" t="s">
        <v>1224</v>
      </c>
      <c r="F721" s="74" t="s">
        <v>1226</v>
      </c>
      <c r="G721" s="74" t="s">
        <v>1225</v>
      </c>
    </row>
    <row r="722" spans="1:7" x14ac:dyDescent="0.2">
      <c r="A722" s="39">
        <v>3710</v>
      </c>
      <c r="B722" s="38" t="s">
        <v>558</v>
      </c>
      <c r="C722" s="39" t="s">
        <v>1239</v>
      </c>
      <c r="D722" s="74" t="s">
        <v>1227</v>
      </c>
      <c r="E722" s="74" t="s">
        <v>1224</v>
      </c>
      <c r="F722" s="74" t="s">
        <v>1226</v>
      </c>
      <c r="G722" s="74" t="s">
        <v>1226</v>
      </c>
    </row>
    <row r="723" spans="1:7" x14ac:dyDescent="0.2">
      <c r="A723" s="39">
        <v>3711</v>
      </c>
      <c r="B723" s="38" t="s">
        <v>559</v>
      </c>
      <c r="C723" s="39" t="s">
        <v>1239</v>
      </c>
      <c r="D723" s="74" t="s">
        <v>1227</v>
      </c>
      <c r="E723" s="74" t="s">
        <v>1224</v>
      </c>
      <c r="F723" s="74" t="s">
        <v>1226</v>
      </c>
      <c r="G723" s="74" t="s">
        <v>1225</v>
      </c>
    </row>
    <row r="724" spans="1:7" x14ac:dyDescent="0.2">
      <c r="A724" s="39">
        <v>3712</v>
      </c>
      <c r="B724" s="38" t="s">
        <v>560</v>
      </c>
      <c r="C724" s="39" t="s">
        <v>1239</v>
      </c>
      <c r="D724" s="74" t="s">
        <v>1227</v>
      </c>
      <c r="E724" s="74" t="s">
        <v>1224</v>
      </c>
      <c r="F724" s="74" t="s">
        <v>1226</v>
      </c>
      <c r="G724" s="74" t="s">
        <v>1226</v>
      </c>
    </row>
    <row r="725" spans="1:7" x14ac:dyDescent="0.2">
      <c r="A725" s="39">
        <v>3713</v>
      </c>
      <c r="B725" s="38" t="s">
        <v>561</v>
      </c>
      <c r="C725" s="39" t="s">
        <v>1239</v>
      </c>
      <c r="D725" s="74" t="s">
        <v>1227</v>
      </c>
      <c r="E725" s="74" t="s">
        <v>1224</v>
      </c>
      <c r="F725" s="74" t="s">
        <v>1226</v>
      </c>
      <c r="G725" s="74" t="s">
        <v>1225</v>
      </c>
    </row>
    <row r="726" spans="1:7" x14ac:dyDescent="0.2">
      <c r="A726" s="39">
        <v>3714</v>
      </c>
      <c r="B726" s="38" t="s">
        <v>562</v>
      </c>
      <c r="C726" s="39" t="s">
        <v>1239</v>
      </c>
      <c r="D726" s="74" t="s">
        <v>1227</v>
      </c>
      <c r="E726" s="74" t="s">
        <v>1224</v>
      </c>
      <c r="F726" s="74" t="s">
        <v>1226</v>
      </c>
      <c r="G726" s="74" t="s">
        <v>1225</v>
      </c>
    </row>
    <row r="727" spans="1:7" x14ac:dyDescent="0.2">
      <c r="A727" s="39">
        <v>3720</v>
      </c>
      <c r="B727" s="38" t="s">
        <v>563</v>
      </c>
      <c r="C727" s="39" t="s">
        <v>1239</v>
      </c>
      <c r="D727" s="74" t="s">
        <v>1227</v>
      </c>
      <c r="E727" s="74" t="s">
        <v>1224</v>
      </c>
      <c r="F727" s="74" t="s">
        <v>1226</v>
      </c>
      <c r="G727" s="74" t="s">
        <v>1225</v>
      </c>
    </row>
    <row r="728" spans="1:7" x14ac:dyDescent="0.2">
      <c r="A728" s="39">
        <v>3721</v>
      </c>
      <c r="B728" s="38" t="s">
        <v>564</v>
      </c>
      <c r="C728" s="39" t="s">
        <v>1239</v>
      </c>
      <c r="D728" s="74" t="s">
        <v>1227</v>
      </c>
      <c r="E728" s="74" t="s">
        <v>1224</v>
      </c>
      <c r="F728" s="74" t="s">
        <v>1226</v>
      </c>
      <c r="G728" s="74" t="s">
        <v>1225</v>
      </c>
    </row>
    <row r="729" spans="1:7" x14ac:dyDescent="0.2">
      <c r="A729" s="39">
        <v>3722</v>
      </c>
      <c r="B729" s="38" t="s">
        <v>565</v>
      </c>
      <c r="C729" s="39" t="s">
        <v>1239</v>
      </c>
      <c r="D729" s="74" t="s">
        <v>1227</v>
      </c>
      <c r="E729" s="74" t="s">
        <v>1224</v>
      </c>
      <c r="F729" s="74" t="s">
        <v>1226</v>
      </c>
      <c r="G729" s="74" t="s">
        <v>1225</v>
      </c>
    </row>
    <row r="730" spans="1:7" x14ac:dyDescent="0.2">
      <c r="A730" s="39">
        <v>3730</v>
      </c>
      <c r="B730" s="38" t="s">
        <v>566</v>
      </c>
      <c r="C730" s="39" t="s">
        <v>1239</v>
      </c>
      <c r="D730" s="74" t="s">
        <v>1227</v>
      </c>
      <c r="E730" s="74" t="s">
        <v>1224</v>
      </c>
      <c r="F730" s="74" t="s">
        <v>1226</v>
      </c>
      <c r="G730" s="74" t="s">
        <v>1226</v>
      </c>
    </row>
    <row r="731" spans="1:7" x14ac:dyDescent="0.2">
      <c r="A731" s="39">
        <v>3741</v>
      </c>
      <c r="B731" s="38" t="s">
        <v>567</v>
      </c>
      <c r="C731" s="39" t="s">
        <v>1239</v>
      </c>
      <c r="D731" s="74" t="s">
        <v>1227</v>
      </c>
      <c r="E731" s="74" t="s">
        <v>1224</v>
      </c>
      <c r="F731" s="74" t="s">
        <v>1226</v>
      </c>
      <c r="G731" s="74" t="s">
        <v>1226</v>
      </c>
    </row>
    <row r="732" spans="1:7" x14ac:dyDescent="0.2">
      <c r="A732" s="39">
        <v>3742</v>
      </c>
      <c r="B732" s="38" t="s">
        <v>568</v>
      </c>
      <c r="C732" s="39" t="s">
        <v>1239</v>
      </c>
      <c r="D732" s="74" t="s">
        <v>1227</v>
      </c>
      <c r="E732" s="74" t="s">
        <v>1224</v>
      </c>
      <c r="F732" s="74" t="s">
        <v>1226</v>
      </c>
      <c r="G732" s="74" t="s">
        <v>1225</v>
      </c>
    </row>
    <row r="733" spans="1:7" x14ac:dyDescent="0.2">
      <c r="A733" s="39">
        <v>3743</v>
      </c>
      <c r="B733" s="38" t="s">
        <v>569</v>
      </c>
      <c r="C733" s="39" t="s">
        <v>1239</v>
      </c>
      <c r="D733" s="74" t="s">
        <v>1227</v>
      </c>
      <c r="E733" s="74" t="s">
        <v>1224</v>
      </c>
      <c r="F733" s="74" t="s">
        <v>1226</v>
      </c>
      <c r="G733" s="74" t="s">
        <v>1225</v>
      </c>
    </row>
    <row r="734" spans="1:7" x14ac:dyDescent="0.2">
      <c r="A734" s="39">
        <v>3744</v>
      </c>
      <c r="B734" s="38" t="s">
        <v>570</v>
      </c>
      <c r="C734" s="39" t="s">
        <v>1239</v>
      </c>
      <c r="D734" s="74" t="s">
        <v>1227</v>
      </c>
      <c r="E734" s="74" t="s">
        <v>1224</v>
      </c>
      <c r="F734" s="74" t="s">
        <v>1226</v>
      </c>
      <c r="G734" s="74" t="s">
        <v>1225</v>
      </c>
    </row>
    <row r="735" spans="1:7" x14ac:dyDescent="0.2">
      <c r="A735" s="39">
        <v>3751</v>
      </c>
      <c r="B735" s="38" t="s">
        <v>571</v>
      </c>
      <c r="C735" s="39" t="s">
        <v>1239</v>
      </c>
      <c r="D735" s="74" t="s">
        <v>1227</v>
      </c>
      <c r="E735" s="74" t="s">
        <v>1224</v>
      </c>
      <c r="F735" s="74" t="s">
        <v>1226</v>
      </c>
      <c r="G735" s="74" t="s">
        <v>1226</v>
      </c>
    </row>
    <row r="736" spans="1:7" x14ac:dyDescent="0.2">
      <c r="A736" s="39">
        <v>3752</v>
      </c>
      <c r="B736" s="38" t="s">
        <v>572</v>
      </c>
      <c r="C736" s="39" t="s">
        <v>1239</v>
      </c>
      <c r="D736" s="74" t="s">
        <v>1227</v>
      </c>
      <c r="E736" s="74" t="s">
        <v>1224</v>
      </c>
      <c r="F736" s="74" t="s">
        <v>1226</v>
      </c>
      <c r="G736" s="74" t="s">
        <v>1225</v>
      </c>
    </row>
    <row r="737" spans="1:7" x14ac:dyDescent="0.2">
      <c r="A737" s="39">
        <v>3753</v>
      </c>
      <c r="B737" s="38" t="s">
        <v>573</v>
      </c>
      <c r="C737" s="39" t="s">
        <v>1239</v>
      </c>
      <c r="D737" s="74" t="s">
        <v>1227</v>
      </c>
      <c r="E737" s="74" t="s">
        <v>1224</v>
      </c>
      <c r="F737" s="74" t="s">
        <v>1226</v>
      </c>
      <c r="G737" s="74" t="s">
        <v>1225</v>
      </c>
    </row>
    <row r="738" spans="1:7" x14ac:dyDescent="0.2">
      <c r="A738" s="39">
        <v>3754</v>
      </c>
      <c r="B738" s="38" t="s">
        <v>574</v>
      </c>
      <c r="C738" s="39" t="s">
        <v>1239</v>
      </c>
      <c r="D738" s="74" t="s">
        <v>1227</v>
      </c>
      <c r="E738" s="74" t="s">
        <v>1224</v>
      </c>
      <c r="F738" s="74" t="s">
        <v>1226</v>
      </c>
      <c r="G738" s="74" t="s">
        <v>1225</v>
      </c>
    </row>
    <row r="739" spans="1:7" x14ac:dyDescent="0.2">
      <c r="A739" s="39">
        <v>3761</v>
      </c>
      <c r="B739" s="38" t="s">
        <v>575</v>
      </c>
      <c r="C739" s="39" t="s">
        <v>1239</v>
      </c>
      <c r="D739" s="74" t="s">
        <v>1227</v>
      </c>
      <c r="E739" s="74" t="s">
        <v>1224</v>
      </c>
      <c r="F739" s="74" t="s">
        <v>1226</v>
      </c>
      <c r="G739" s="74" t="s">
        <v>1225</v>
      </c>
    </row>
    <row r="740" spans="1:7" x14ac:dyDescent="0.2">
      <c r="A740" s="39">
        <v>3762</v>
      </c>
      <c r="B740" s="38" t="s">
        <v>576</v>
      </c>
      <c r="C740" s="39" t="s">
        <v>1239</v>
      </c>
      <c r="D740" s="74" t="s">
        <v>1227</v>
      </c>
      <c r="E740" s="74" t="s">
        <v>1224</v>
      </c>
      <c r="F740" s="74" t="s">
        <v>1226</v>
      </c>
      <c r="G740" s="74" t="s">
        <v>1225</v>
      </c>
    </row>
    <row r="741" spans="1:7" x14ac:dyDescent="0.2">
      <c r="A741" s="39">
        <v>3763</v>
      </c>
      <c r="B741" s="38" t="s">
        <v>577</v>
      </c>
      <c r="C741" s="39" t="s">
        <v>1239</v>
      </c>
      <c r="D741" s="74" t="s">
        <v>1227</v>
      </c>
      <c r="E741" s="74" t="s">
        <v>1224</v>
      </c>
      <c r="F741" s="74" t="s">
        <v>1226</v>
      </c>
      <c r="G741" s="74" t="s">
        <v>1226</v>
      </c>
    </row>
    <row r="742" spans="1:7" x14ac:dyDescent="0.2">
      <c r="A742" s="39">
        <v>3800</v>
      </c>
      <c r="B742" s="38" t="s">
        <v>578</v>
      </c>
      <c r="C742" s="39" t="s">
        <v>1239</v>
      </c>
      <c r="D742" s="74" t="s">
        <v>1227</v>
      </c>
      <c r="E742" s="74" t="s">
        <v>1224</v>
      </c>
      <c r="F742" s="74" t="s">
        <v>1226</v>
      </c>
      <c r="G742" s="74" t="s">
        <v>1225</v>
      </c>
    </row>
    <row r="743" spans="1:7" x14ac:dyDescent="0.2">
      <c r="A743" s="39">
        <v>3804</v>
      </c>
      <c r="B743" s="38" t="s">
        <v>579</v>
      </c>
      <c r="C743" s="39" t="s">
        <v>1239</v>
      </c>
      <c r="D743" s="74" t="s">
        <v>1227</v>
      </c>
      <c r="E743" s="74" t="s">
        <v>1224</v>
      </c>
      <c r="F743" s="74" t="s">
        <v>1226</v>
      </c>
      <c r="G743" s="74" t="s">
        <v>1226</v>
      </c>
    </row>
    <row r="744" spans="1:7" x14ac:dyDescent="0.2">
      <c r="A744" s="39">
        <v>3811</v>
      </c>
      <c r="B744" s="38" t="s">
        <v>580</v>
      </c>
      <c r="C744" s="39" t="s">
        <v>1239</v>
      </c>
      <c r="D744" s="74" t="s">
        <v>1227</v>
      </c>
      <c r="E744" s="74" t="s">
        <v>1224</v>
      </c>
      <c r="F744" s="74" t="s">
        <v>1226</v>
      </c>
      <c r="G744" s="74" t="s">
        <v>1225</v>
      </c>
    </row>
    <row r="745" spans="1:7" x14ac:dyDescent="0.2">
      <c r="A745" s="39">
        <v>3812</v>
      </c>
      <c r="B745" s="38" t="s">
        <v>581</v>
      </c>
      <c r="C745" s="39" t="s">
        <v>1239</v>
      </c>
      <c r="D745" s="74" t="s">
        <v>1227</v>
      </c>
      <c r="E745" s="74" t="s">
        <v>1224</v>
      </c>
      <c r="F745" s="74" t="s">
        <v>1226</v>
      </c>
      <c r="G745" s="74" t="s">
        <v>1226</v>
      </c>
    </row>
    <row r="746" spans="1:7" x14ac:dyDescent="0.2">
      <c r="A746" s="39">
        <v>3813</v>
      </c>
      <c r="B746" s="38" t="s">
        <v>582</v>
      </c>
      <c r="C746" s="39" t="s">
        <v>1239</v>
      </c>
      <c r="D746" s="74" t="s">
        <v>1227</v>
      </c>
      <c r="E746" s="74" t="s">
        <v>1224</v>
      </c>
      <c r="F746" s="74" t="s">
        <v>1226</v>
      </c>
      <c r="G746" s="74" t="s">
        <v>1225</v>
      </c>
    </row>
    <row r="747" spans="1:7" x14ac:dyDescent="0.2">
      <c r="A747" s="39">
        <v>3814</v>
      </c>
      <c r="B747" s="38" t="s">
        <v>583</v>
      </c>
      <c r="C747" s="39" t="s">
        <v>1239</v>
      </c>
      <c r="D747" s="74" t="s">
        <v>1227</v>
      </c>
      <c r="E747" s="74" t="s">
        <v>1224</v>
      </c>
      <c r="F747" s="74" t="s">
        <v>1226</v>
      </c>
      <c r="G747" s="74" t="s">
        <v>1225</v>
      </c>
    </row>
    <row r="748" spans="1:7" x14ac:dyDescent="0.2">
      <c r="A748" s="39">
        <v>3820</v>
      </c>
      <c r="B748" s="38" t="s">
        <v>584</v>
      </c>
      <c r="C748" s="39" t="s">
        <v>1239</v>
      </c>
      <c r="D748" s="74" t="s">
        <v>1227</v>
      </c>
      <c r="E748" s="74" t="s">
        <v>1224</v>
      </c>
      <c r="F748" s="74" t="s">
        <v>1226</v>
      </c>
      <c r="G748" s="74" t="s">
        <v>1226</v>
      </c>
    </row>
    <row r="749" spans="1:7" x14ac:dyDescent="0.2">
      <c r="A749" s="39">
        <v>3822</v>
      </c>
      <c r="B749" s="38" t="s">
        <v>585</v>
      </c>
      <c r="C749" s="39" t="s">
        <v>1239</v>
      </c>
      <c r="D749" s="74" t="s">
        <v>1227</v>
      </c>
      <c r="E749" s="74" t="s">
        <v>1224</v>
      </c>
      <c r="F749" s="74" t="s">
        <v>1226</v>
      </c>
      <c r="G749" s="74" t="s">
        <v>1225</v>
      </c>
    </row>
    <row r="750" spans="1:7" x14ac:dyDescent="0.2">
      <c r="A750" s="39">
        <v>3823</v>
      </c>
      <c r="B750" s="38" t="s">
        <v>586</v>
      </c>
      <c r="C750" s="39" t="s">
        <v>1239</v>
      </c>
      <c r="D750" s="74" t="s">
        <v>1227</v>
      </c>
      <c r="E750" s="74" t="s">
        <v>1224</v>
      </c>
      <c r="F750" s="74" t="s">
        <v>1226</v>
      </c>
      <c r="G750" s="74" t="s">
        <v>1225</v>
      </c>
    </row>
    <row r="751" spans="1:7" x14ac:dyDescent="0.2">
      <c r="A751" s="39">
        <v>3824</v>
      </c>
      <c r="B751" s="38" t="s">
        <v>587</v>
      </c>
      <c r="C751" s="39" t="s">
        <v>1239</v>
      </c>
      <c r="D751" s="74" t="s">
        <v>1227</v>
      </c>
      <c r="E751" s="74" t="s">
        <v>1224</v>
      </c>
      <c r="F751" s="74" t="s">
        <v>1226</v>
      </c>
      <c r="G751" s="74" t="s">
        <v>1225</v>
      </c>
    </row>
    <row r="752" spans="1:7" x14ac:dyDescent="0.2">
      <c r="A752" s="39">
        <v>3830</v>
      </c>
      <c r="B752" s="38" t="s">
        <v>588</v>
      </c>
      <c r="C752" s="39" t="s">
        <v>1239</v>
      </c>
      <c r="D752" s="74" t="s">
        <v>1227</v>
      </c>
      <c r="E752" s="74" t="s">
        <v>1224</v>
      </c>
      <c r="F752" s="74" t="s">
        <v>1226</v>
      </c>
      <c r="G752" s="74" t="s">
        <v>1226</v>
      </c>
    </row>
    <row r="753" spans="1:7" x14ac:dyDescent="0.2">
      <c r="A753" s="39">
        <v>3834</v>
      </c>
      <c r="B753" s="38" t="s">
        <v>589</v>
      </c>
      <c r="C753" s="39" t="s">
        <v>1239</v>
      </c>
      <c r="D753" s="74" t="s">
        <v>1227</v>
      </c>
      <c r="E753" s="74" t="s">
        <v>1224</v>
      </c>
      <c r="F753" s="74" t="s">
        <v>1226</v>
      </c>
      <c r="G753" s="74" t="s">
        <v>1225</v>
      </c>
    </row>
    <row r="754" spans="1:7" x14ac:dyDescent="0.2">
      <c r="A754" s="39">
        <v>3841</v>
      </c>
      <c r="B754" s="38" t="s">
        <v>590</v>
      </c>
      <c r="C754" s="39" t="s">
        <v>1239</v>
      </c>
      <c r="D754" s="74" t="s">
        <v>1227</v>
      </c>
      <c r="E754" s="74" t="s">
        <v>1224</v>
      </c>
      <c r="F754" s="74" t="s">
        <v>1226</v>
      </c>
      <c r="G754" s="74" t="s">
        <v>1225</v>
      </c>
    </row>
    <row r="755" spans="1:7" x14ac:dyDescent="0.2">
      <c r="A755" s="39">
        <v>3842</v>
      </c>
      <c r="B755" s="38" t="s">
        <v>591</v>
      </c>
      <c r="C755" s="39" t="s">
        <v>1239</v>
      </c>
      <c r="D755" s="74" t="s">
        <v>1227</v>
      </c>
      <c r="E755" s="74" t="s">
        <v>1224</v>
      </c>
      <c r="F755" s="74" t="s">
        <v>1226</v>
      </c>
      <c r="G755" s="74" t="s">
        <v>1225</v>
      </c>
    </row>
    <row r="756" spans="1:7" x14ac:dyDescent="0.2">
      <c r="A756" s="39">
        <v>3843</v>
      </c>
      <c r="B756" s="38" t="s">
        <v>592</v>
      </c>
      <c r="C756" s="39" t="s">
        <v>1239</v>
      </c>
      <c r="D756" s="74" t="s">
        <v>1227</v>
      </c>
      <c r="E756" s="74" t="s">
        <v>1224</v>
      </c>
      <c r="F756" s="74" t="s">
        <v>1226</v>
      </c>
      <c r="G756" s="74" t="s">
        <v>1226</v>
      </c>
    </row>
    <row r="757" spans="1:7" x14ac:dyDescent="0.2">
      <c r="A757" s="39">
        <v>3844</v>
      </c>
      <c r="B757" s="38" t="s">
        <v>593</v>
      </c>
      <c r="C757" s="39" t="s">
        <v>1239</v>
      </c>
      <c r="D757" s="74" t="s">
        <v>1227</v>
      </c>
      <c r="E757" s="74" t="s">
        <v>1224</v>
      </c>
      <c r="F757" s="74" t="s">
        <v>1226</v>
      </c>
      <c r="G757" s="74" t="s">
        <v>1225</v>
      </c>
    </row>
    <row r="758" spans="1:7" x14ac:dyDescent="0.2">
      <c r="A758" s="39">
        <v>3851</v>
      </c>
      <c r="B758" s="38" t="s">
        <v>594</v>
      </c>
      <c r="C758" s="39" t="s">
        <v>1239</v>
      </c>
      <c r="D758" s="74" t="s">
        <v>1227</v>
      </c>
      <c r="E758" s="74" t="s">
        <v>1224</v>
      </c>
      <c r="F758" s="74" t="s">
        <v>1226</v>
      </c>
      <c r="G758" s="74" t="s">
        <v>1225</v>
      </c>
    </row>
    <row r="759" spans="1:7" x14ac:dyDescent="0.2">
      <c r="A759" s="39">
        <v>3852</v>
      </c>
      <c r="B759" s="38" t="s">
        <v>595</v>
      </c>
      <c r="C759" s="39" t="s">
        <v>1239</v>
      </c>
      <c r="D759" s="74" t="s">
        <v>1227</v>
      </c>
      <c r="E759" s="74" t="s">
        <v>1224</v>
      </c>
      <c r="F759" s="74" t="s">
        <v>1226</v>
      </c>
      <c r="G759" s="74" t="s">
        <v>1226</v>
      </c>
    </row>
    <row r="760" spans="1:7" x14ac:dyDescent="0.2">
      <c r="A760" s="39">
        <v>3860</v>
      </c>
      <c r="B760" s="38" t="s">
        <v>596</v>
      </c>
      <c r="C760" s="39" t="s">
        <v>1239</v>
      </c>
      <c r="D760" s="74" t="s">
        <v>1227</v>
      </c>
      <c r="E760" s="74" t="s">
        <v>1224</v>
      </c>
      <c r="F760" s="74" t="s">
        <v>1226</v>
      </c>
      <c r="G760" s="74" t="s">
        <v>1226</v>
      </c>
    </row>
    <row r="761" spans="1:7" x14ac:dyDescent="0.2">
      <c r="A761" s="39">
        <v>3861</v>
      </c>
      <c r="B761" s="38" t="s">
        <v>597</v>
      </c>
      <c r="C761" s="39" t="s">
        <v>1239</v>
      </c>
      <c r="D761" s="74" t="s">
        <v>1227</v>
      </c>
      <c r="E761" s="74" t="s">
        <v>1224</v>
      </c>
      <c r="F761" s="74" t="s">
        <v>1226</v>
      </c>
      <c r="G761" s="74" t="s">
        <v>1225</v>
      </c>
    </row>
    <row r="762" spans="1:7" x14ac:dyDescent="0.2">
      <c r="A762" s="39">
        <v>3862</v>
      </c>
      <c r="B762" s="38" t="s">
        <v>598</v>
      </c>
      <c r="C762" s="39" t="s">
        <v>1239</v>
      </c>
      <c r="D762" s="74" t="s">
        <v>1227</v>
      </c>
      <c r="E762" s="74" t="s">
        <v>1224</v>
      </c>
      <c r="F762" s="74" t="s">
        <v>1226</v>
      </c>
      <c r="G762" s="74" t="s">
        <v>1225</v>
      </c>
    </row>
    <row r="763" spans="1:7" x14ac:dyDescent="0.2">
      <c r="A763" s="39">
        <v>3863</v>
      </c>
      <c r="B763" s="38" t="s">
        <v>599</v>
      </c>
      <c r="C763" s="39" t="s">
        <v>1239</v>
      </c>
      <c r="D763" s="74" t="s">
        <v>1227</v>
      </c>
      <c r="E763" s="74" t="s">
        <v>1224</v>
      </c>
      <c r="F763" s="74" t="s">
        <v>1226</v>
      </c>
      <c r="G763" s="74" t="s">
        <v>1225</v>
      </c>
    </row>
    <row r="764" spans="1:7" x14ac:dyDescent="0.2">
      <c r="A764" s="39">
        <v>3871</v>
      </c>
      <c r="B764" s="38" t="s">
        <v>600</v>
      </c>
      <c r="C764" s="39" t="s">
        <v>1239</v>
      </c>
      <c r="D764" s="74" t="s">
        <v>1227</v>
      </c>
      <c r="E764" s="74" t="s">
        <v>1224</v>
      </c>
      <c r="F764" s="74" t="s">
        <v>1226</v>
      </c>
      <c r="G764" s="74" t="s">
        <v>1226</v>
      </c>
    </row>
    <row r="765" spans="1:7" x14ac:dyDescent="0.2">
      <c r="A765" s="39">
        <v>3872</v>
      </c>
      <c r="B765" s="38" t="s">
        <v>601</v>
      </c>
      <c r="C765" s="39" t="s">
        <v>1239</v>
      </c>
      <c r="D765" s="74" t="s">
        <v>1227</v>
      </c>
      <c r="E765" s="74" t="s">
        <v>1224</v>
      </c>
      <c r="F765" s="74" t="s">
        <v>1226</v>
      </c>
      <c r="G765" s="74" t="s">
        <v>1225</v>
      </c>
    </row>
    <row r="766" spans="1:7" x14ac:dyDescent="0.2">
      <c r="A766" s="39">
        <v>3873</v>
      </c>
      <c r="B766" s="38" t="s">
        <v>602</v>
      </c>
      <c r="C766" s="39" t="s">
        <v>1239</v>
      </c>
      <c r="D766" s="74" t="s">
        <v>1227</v>
      </c>
      <c r="E766" s="74" t="s">
        <v>1224</v>
      </c>
      <c r="F766" s="74" t="s">
        <v>1226</v>
      </c>
      <c r="G766" s="74" t="s">
        <v>1225</v>
      </c>
    </row>
    <row r="767" spans="1:7" x14ac:dyDescent="0.2">
      <c r="A767" s="39">
        <v>3874</v>
      </c>
      <c r="B767" s="38" t="s">
        <v>603</v>
      </c>
      <c r="C767" s="39" t="s">
        <v>1239</v>
      </c>
      <c r="D767" s="74" t="s">
        <v>1227</v>
      </c>
      <c r="E767" s="74" t="s">
        <v>1224</v>
      </c>
      <c r="F767" s="74" t="s">
        <v>1226</v>
      </c>
      <c r="G767" s="74" t="s">
        <v>1226</v>
      </c>
    </row>
    <row r="768" spans="1:7" x14ac:dyDescent="0.2">
      <c r="A768" s="39">
        <v>3900</v>
      </c>
      <c r="B768" s="38" t="s">
        <v>604</v>
      </c>
      <c r="C768" s="39" t="s">
        <v>1239</v>
      </c>
      <c r="D768" s="74" t="s">
        <v>1227</v>
      </c>
      <c r="E768" s="74" t="s">
        <v>1224</v>
      </c>
      <c r="F768" s="74" t="s">
        <v>1226</v>
      </c>
      <c r="G768" s="74" t="s">
        <v>1226</v>
      </c>
    </row>
    <row r="769" spans="1:7" x14ac:dyDescent="0.2">
      <c r="A769" s="39">
        <v>3902</v>
      </c>
      <c r="B769" s="38" t="s">
        <v>605</v>
      </c>
      <c r="C769" s="39" t="s">
        <v>1239</v>
      </c>
      <c r="D769" s="74" t="s">
        <v>1227</v>
      </c>
      <c r="E769" s="74" t="s">
        <v>1224</v>
      </c>
      <c r="F769" s="74" t="s">
        <v>1226</v>
      </c>
      <c r="G769" s="74" t="s">
        <v>1226</v>
      </c>
    </row>
    <row r="770" spans="1:7" x14ac:dyDescent="0.2">
      <c r="A770" s="39">
        <v>3903</v>
      </c>
      <c r="B770" s="38" t="s">
        <v>606</v>
      </c>
      <c r="C770" s="39" t="s">
        <v>1239</v>
      </c>
      <c r="D770" s="74" t="s">
        <v>1227</v>
      </c>
      <c r="E770" s="74" t="s">
        <v>1224</v>
      </c>
      <c r="F770" s="74" t="s">
        <v>1226</v>
      </c>
      <c r="G770" s="74" t="s">
        <v>1226</v>
      </c>
    </row>
    <row r="771" spans="1:7" x14ac:dyDescent="0.2">
      <c r="A771" s="39">
        <v>3910</v>
      </c>
      <c r="B771" s="38" t="s">
        <v>1213</v>
      </c>
      <c r="C771" s="39" t="s">
        <v>1239</v>
      </c>
      <c r="D771" s="74" t="s">
        <v>1227</v>
      </c>
      <c r="E771" s="74" t="s">
        <v>1224</v>
      </c>
      <c r="F771" s="74" t="s">
        <v>1226</v>
      </c>
      <c r="G771" s="74" t="s">
        <v>1226</v>
      </c>
    </row>
    <row r="772" spans="1:7" x14ac:dyDescent="0.2">
      <c r="A772" s="39">
        <v>3911</v>
      </c>
      <c r="B772" s="38" t="s">
        <v>607</v>
      </c>
      <c r="C772" s="39" t="s">
        <v>1239</v>
      </c>
      <c r="D772" s="74" t="s">
        <v>1227</v>
      </c>
      <c r="E772" s="74" t="s">
        <v>1224</v>
      </c>
      <c r="F772" s="74" t="s">
        <v>1226</v>
      </c>
      <c r="G772" s="74" t="s">
        <v>1226</v>
      </c>
    </row>
    <row r="773" spans="1:7" x14ac:dyDescent="0.2">
      <c r="A773" s="39">
        <v>3912</v>
      </c>
      <c r="B773" s="38" t="s">
        <v>608</v>
      </c>
      <c r="C773" s="39" t="s">
        <v>1239</v>
      </c>
      <c r="D773" s="74" t="s">
        <v>1227</v>
      </c>
      <c r="E773" s="74" t="s">
        <v>1224</v>
      </c>
      <c r="F773" s="74" t="s">
        <v>1226</v>
      </c>
      <c r="G773" s="74" t="s">
        <v>1225</v>
      </c>
    </row>
    <row r="774" spans="1:7" x14ac:dyDescent="0.2">
      <c r="A774" s="39">
        <v>3913</v>
      </c>
      <c r="B774" s="38" t="s">
        <v>609</v>
      </c>
      <c r="C774" s="39" t="s">
        <v>1239</v>
      </c>
      <c r="D774" s="74" t="s">
        <v>1227</v>
      </c>
      <c r="E774" s="74" t="s">
        <v>1224</v>
      </c>
      <c r="F774" s="74" t="s">
        <v>1226</v>
      </c>
      <c r="G774" s="74" t="s">
        <v>1225</v>
      </c>
    </row>
    <row r="775" spans="1:7" x14ac:dyDescent="0.2">
      <c r="A775" s="39">
        <v>3914</v>
      </c>
      <c r="B775" s="38" t="s">
        <v>610</v>
      </c>
      <c r="C775" s="39" t="s">
        <v>1239</v>
      </c>
      <c r="D775" s="74" t="s">
        <v>1227</v>
      </c>
      <c r="E775" s="74" t="s">
        <v>1224</v>
      </c>
      <c r="F775" s="74" t="s">
        <v>1226</v>
      </c>
      <c r="G775" s="74" t="s">
        <v>1225</v>
      </c>
    </row>
    <row r="776" spans="1:7" x14ac:dyDescent="0.2">
      <c r="A776" s="39">
        <v>3920</v>
      </c>
      <c r="B776" s="38" t="s">
        <v>611</v>
      </c>
      <c r="C776" s="39" t="s">
        <v>1239</v>
      </c>
      <c r="D776" s="74" t="s">
        <v>1227</v>
      </c>
      <c r="E776" s="74" t="s">
        <v>1224</v>
      </c>
      <c r="F776" s="74" t="s">
        <v>1226</v>
      </c>
      <c r="G776" s="74" t="s">
        <v>1226</v>
      </c>
    </row>
    <row r="777" spans="1:7" x14ac:dyDescent="0.2">
      <c r="A777" s="39">
        <v>3921</v>
      </c>
      <c r="B777" s="38" t="s">
        <v>612</v>
      </c>
      <c r="C777" s="39" t="s">
        <v>1239</v>
      </c>
      <c r="D777" s="74" t="s">
        <v>1227</v>
      </c>
      <c r="E777" s="74" t="s">
        <v>1224</v>
      </c>
      <c r="F777" s="74" t="s">
        <v>1226</v>
      </c>
      <c r="G777" s="74" t="s">
        <v>1225</v>
      </c>
    </row>
    <row r="778" spans="1:7" x14ac:dyDescent="0.2">
      <c r="A778" s="39">
        <v>3922</v>
      </c>
      <c r="B778" s="38" t="s">
        <v>613</v>
      </c>
      <c r="C778" s="39" t="s">
        <v>1239</v>
      </c>
      <c r="D778" s="74" t="s">
        <v>1227</v>
      </c>
      <c r="E778" s="74" t="s">
        <v>1224</v>
      </c>
      <c r="F778" s="74" t="s">
        <v>1226</v>
      </c>
      <c r="G778" s="74" t="s">
        <v>1225</v>
      </c>
    </row>
    <row r="779" spans="1:7" x14ac:dyDescent="0.2">
      <c r="A779" s="39">
        <v>3923</v>
      </c>
      <c r="B779" s="38" t="s">
        <v>614</v>
      </c>
      <c r="C779" s="39" t="s">
        <v>1239</v>
      </c>
      <c r="D779" s="74" t="s">
        <v>1227</v>
      </c>
      <c r="E779" s="74" t="s">
        <v>1224</v>
      </c>
      <c r="F779" s="74" t="s">
        <v>1226</v>
      </c>
      <c r="G779" s="74" t="s">
        <v>1225</v>
      </c>
    </row>
    <row r="780" spans="1:7" x14ac:dyDescent="0.2">
      <c r="A780" s="39">
        <v>3924</v>
      </c>
      <c r="B780" s="38" t="s">
        <v>615</v>
      </c>
      <c r="C780" s="39" t="s">
        <v>1239</v>
      </c>
      <c r="D780" s="74" t="s">
        <v>1227</v>
      </c>
      <c r="E780" s="74" t="s">
        <v>1224</v>
      </c>
      <c r="F780" s="74" t="s">
        <v>1226</v>
      </c>
      <c r="G780" s="74" t="s">
        <v>1225</v>
      </c>
    </row>
    <row r="781" spans="1:7" x14ac:dyDescent="0.2">
      <c r="A781" s="39">
        <v>3925</v>
      </c>
      <c r="B781" s="38" t="s">
        <v>616</v>
      </c>
      <c r="C781" s="39" t="s">
        <v>1239</v>
      </c>
      <c r="D781" s="74" t="s">
        <v>1227</v>
      </c>
      <c r="E781" s="74" t="s">
        <v>1224</v>
      </c>
      <c r="F781" s="74" t="s">
        <v>1226</v>
      </c>
      <c r="G781" s="74" t="s">
        <v>1226</v>
      </c>
    </row>
    <row r="782" spans="1:7" x14ac:dyDescent="0.2">
      <c r="A782" s="39">
        <v>3931</v>
      </c>
      <c r="B782" s="38" t="s">
        <v>617</v>
      </c>
      <c r="C782" s="39" t="s">
        <v>1239</v>
      </c>
      <c r="D782" s="74" t="s">
        <v>1227</v>
      </c>
      <c r="E782" s="74" t="s">
        <v>1224</v>
      </c>
      <c r="F782" s="74" t="s">
        <v>1226</v>
      </c>
      <c r="G782" s="74" t="s">
        <v>1226</v>
      </c>
    </row>
    <row r="783" spans="1:7" x14ac:dyDescent="0.2">
      <c r="A783" s="39">
        <v>3932</v>
      </c>
      <c r="B783" s="38" t="s">
        <v>618</v>
      </c>
      <c r="C783" s="39" t="s">
        <v>1239</v>
      </c>
      <c r="D783" s="74" t="s">
        <v>1227</v>
      </c>
      <c r="E783" s="74" t="s">
        <v>1224</v>
      </c>
      <c r="F783" s="74" t="s">
        <v>1226</v>
      </c>
      <c r="G783" s="74" t="s">
        <v>1225</v>
      </c>
    </row>
    <row r="784" spans="1:7" x14ac:dyDescent="0.2">
      <c r="A784" s="39">
        <v>3942</v>
      </c>
      <c r="B784" s="38" t="s">
        <v>619</v>
      </c>
      <c r="C784" s="39" t="s">
        <v>1239</v>
      </c>
      <c r="D784" s="74" t="s">
        <v>1227</v>
      </c>
      <c r="E784" s="74" t="s">
        <v>1224</v>
      </c>
      <c r="F784" s="74" t="s">
        <v>1226</v>
      </c>
      <c r="G784" s="74" t="s">
        <v>1225</v>
      </c>
    </row>
    <row r="785" spans="1:7" x14ac:dyDescent="0.2">
      <c r="A785" s="39">
        <v>3943</v>
      </c>
      <c r="B785" s="38" t="s">
        <v>620</v>
      </c>
      <c r="C785" s="39" t="s">
        <v>1239</v>
      </c>
      <c r="D785" s="74" t="s">
        <v>1227</v>
      </c>
      <c r="E785" s="74" t="s">
        <v>1224</v>
      </c>
      <c r="F785" s="74" t="s">
        <v>1226</v>
      </c>
      <c r="G785" s="74" t="s">
        <v>1226</v>
      </c>
    </row>
    <row r="786" spans="1:7" x14ac:dyDescent="0.2">
      <c r="A786" s="39">
        <v>3944</v>
      </c>
      <c r="B786" s="38" t="s">
        <v>621</v>
      </c>
      <c r="C786" s="39" t="s">
        <v>1239</v>
      </c>
      <c r="D786" s="74" t="s">
        <v>1227</v>
      </c>
      <c r="E786" s="74" t="s">
        <v>1224</v>
      </c>
      <c r="F786" s="74" t="s">
        <v>1226</v>
      </c>
      <c r="G786" s="74" t="s">
        <v>1225</v>
      </c>
    </row>
    <row r="787" spans="1:7" x14ac:dyDescent="0.2">
      <c r="A787" s="39">
        <v>3945</v>
      </c>
      <c r="B787" s="38" t="s">
        <v>622</v>
      </c>
      <c r="C787" s="39" t="s">
        <v>1239</v>
      </c>
      <c r="D787" s="74" t="s">
        <v>1227</v>
      </c>
      <c r="E787" s="74" t="s">
        <v>1224</v>
      </c>
      <c r="F787" s="74" t="s">
        <v>1226</v>
      </c>
      <c r="G787" s="74" t="s">
        <v>1225</v>
      </c>
    </row>
    <row r="788" spans="1:7" x14ac:dyDescent="0.2">
      <c r="A788" s="39">
        <v>3950</v>
      </c>
      <c r="B788" s="38" t="s">
        <v>623</v>
      </c>
      <c r="C788" s="39" t="s">
        <v>1239</v>
      </c>
      <c r="D788" s="74" t="s">
        <v>1227</v>
      </c>
      <c r="E788" s="74" t="s">
        <v>1224</v>
      </c>
      <c r="F788" s="74" t="s">
        <v>1226</v>
      </c>
      <c r="G788" s="74" t="s">
        <v>1226</v>
      </c>
    </row>
    <row r="789" spans="1:7" x14ac:dyDescent="0.2">
      <c r="A789" s="39">
        <v>3961</v>
      </c>
      <c r="B789" s="38" t="s">
        <v>624</v>
      </c>
      <c r="C789" s="39" t="s">
        <v>1239</v>
      </c>
      <c r="D789" s="74" t="s">
        <v>1227</v>
      </c>
      <c r="E789" s="74" t="s">
        <v>1224</v>
      </c>
      <c r="F789" s="74" t="s">
        <v>1226</v>
      </c>
      <c r="G789" s="74" t="s">
        <v>1225</v>
      </c>
    </row>
    <row r="790" spans="1:7" x14ac:dyDescent="0.2">
      <c r="A790" s="39">
        <v>3962</v>
      </c>
      <c r="B790" s="38" t="s">
        <v>625</v>
      </c>
      <c r="C790" s="39" t="s">
        <v>1239</v>
      </c>
      <c r="D790" s="74" t="s">
        <v>1227</v>
      </c>
      <c r="E790" s="74" t="s">
        <v>1224</v>
      </c>
      <c r="F790" s="74" t="s">
        <v>1226</v>
      </c>
      <c r="G790" s="74" t="s">
        <v>1225</v>
      </c>
    </row>
    <row r="791" spans="1:7" x14ac:dyDescent="0.2">
      <c r="A791" s="39">
        <v>3970</v>
      </c>
      <c r="B791" s="38" t="s">
        <v>626</v>
      </c>
      <c r="C791" s="39" t="s">
        <v>1239</v>
      </c>
      <c r="D791" s="74" t="s">
        <v>1227</v>
      </c>
      <c r="E791" s="74" t="s">
        <v>1224</v>
      </c>
      <c r="F791" s="74" t="s">
        <v>1226</v>
      </c>
      <c r="G791" s="74" t="s">
        <v>1226</v>
      </c>
    </row>
    <row r="792" spans="1:7" x14ac:dyDescent="0.2">
      <c r="A792" s="39">
        <v>3971</v>
      </c>
      <c r="B792" s="38" t="s">
        <v>627</v>
      </c>
      <c r="C792" s="39" t="s">
        <v>1239</v>
      </c>
      <c r="D792" s="74" t="s">
        <v>1227</v>
      </c>
      <c r="E792" s="74" t="s">
        <v>1224</v>
      </c>
      <c r="F792" s="74" t="s">
        <v>1226</v>
      </c>
      <c r="G792" s="74" t="s">
        <v>1225</v>
      </c>
    </row>
    <row r="793" spans="1:7" x14ac:dyDescent="0.2">
      <c r="A793" s="39">
        <v>3972</v>
      </c>
      <c r="B793" s="38" t="s">
        <v>628</v>
      </c>
      <c r="C793" s="39" t="s">
        <v>1239</v>
      </c>
      <c r="D793" s="74" t="s">
        <v>1227</v>
      </c>
      <c r="E793" s="74" t="s">
        <v>1224</v>
      </c>
      <c r="F793" s="74" t="s">
        <v>1226</v>
      </c>
      <c r="G793" s="74" t="s">
        <v>1226</v>
      </c>
    </row>
    <row r="794" spans="1:7" x14ac:dyDescent="0.2">
      <c r="A794" s="39">
        <v>3973</v>
      </c>
      <c r="B794" s="38" t="s">
        <v>629</v>
      </c>
      <c r="C794" s="39" t="s">
        <v>1239</v>
      </c>
      <c r="D794" s="74" t="s">
        <v>1227</v>
      </c>
      <c r="E794" s="74" t="s">
        <v>1224</v>
      </c>
      <c r="F794" s="74" t="s">
        <v>1226</v>
      </c>
      <c r="G794" s="74" t="s">
        <v>1225</v>
      </c>
    </row>
    <row r="795" spans="1:7" x14ac:dyDescent="0.2">
      <c r="A795" s="39">
        <v>4010</v>
      </c>
      <c r="B795" s="38" t="s">
        <v>630</v>
      </c>
      <c r="C795" s="39" t="s">
        <v>509</v>
      </c>
      <c r="D795" s="74" t="s">
        <v>1229</v>
      </c>
      <c r="E795" s="74" t="s">
        <v>1224</v>
      </c>
      <c r="F795" s="74" t="s">
        <v>1225</v>
      </c>
      <c r="G795" s="74" t="s">
        <v>1226</v>
      </c>
    </row>
    <row r="796" spans="1:7" x14ac:dyDescent="0.2">
      <c r="A796" s="39">
        <v>4013</v>
      </c>
      <c r="B796" s="38" t="s">
        <v>630</v>
      </c>
      <c r="C796" s="39" t="s">
        <v>509</v>
      </c>
      <c r="D796" s="74" t="s">
        <v>1229</v>
      </c>
      <c r="E796" s="74" t="s">
        <v>1224</v>
      </c>
      <c r="F796" s="74" t="s">
        <v>1225</v>
      </c>
      <c r="G796" s="74" t="s">
        <v>1226</v>
      </c>
    </row>
    <row r="797" spans="1:7" x14ac:dyDescent="0.2">
      <c r="A797" s="39">
        <v>4014</v>
      </c>
      <c r="B797" s="38" t="s">
        <v>630</v>
      </c>
      <c r="C797" s="39" t="s">
        <v>509</v>
      </c>
      <c r="D797" s="74" t="s">
        <v>1229</v>
      </c>
      <c r="E797" s="74" t="s">
        <v>1224</v>
      </c>
      <c r="F797" s="74" t="s">
        <v>1225</v>
      </c>
      <c r="G797" s="74" t="s">
        <v>1226</v>
      </c>
    </row>
    <row r="798" spans="1:7" x14ac:dyDescent="0.2">
      <c r="A798" s="39">
        <v>4015</v>
      </c>
      <c r="B798" s="38" t="s">
        <v>630</v>
      </c>
      <c r="C798" s="39" t="s">
        <v>509</v>
      </c>
      <c r="D798" s="74" t="s">
        <v>1229</v>
      </c>
      <c r="E798" s="74" t="s">
        <v>1224</v>
      </c>
      <c r="F798" s="74" t="s">
        <v>1225</v>
      </c>
      <c r="G798" s="74" t="s">
        <v>1226</v>
      </c>
    </row>
    <row r="799" spans="1:7" x14ac:dyDescent="0.2">
      <c r="A799" s="39">
        <v>4017</v>
      </c>
      <c r="B799" s="38" t="s">
        <v>630</v>
      </c>
      <c r="C799" s="39" t="s">
        <v>509</v>
      </c>
      <c r="D799" s="74" t="s">
        <v>1229</v>
      </c>
      <c r="E799" s="74" t="s">
        <v>1224</v>
      </c>
      <c r="F799" s="74" t="s">
        <v>1225</v>
      </c>
      <c r="G799" s="74" t="s">
        <v>1226</v>
      </c>
    </row>
    <row r="800" spans="1:7" x14ac:dyDescent="0.2">
      <c r="A800" s="39">
        <v>4018</v>
      </c>
      <c r="B800" s="38" t="s">
        <v>630</v>
      </c>
      <c r="C800" s="39" t="s">
        <v>509</v>
      </c>
      <c r="D800" s="74" t="s">
        <v>1229</v>
      </c>
      <c r="E800" s="74" t="s">
        <v>1224</v>
      </c>
      <c r="F800" s="74" t="s">
        <v>1225</v>
      </c>
      <c r="G800" s="74" t="s">
        <v>1226</v>
      </c>
    </row>
    <row r="801" spans="1:7" x14ac:dyDescent="0.2">
      <c r="A801" s="39">
        <v>4020</v>
      </c>
      <c r="B801" s="38" t="s">
        <v>631</v>
      </c>
      <c r="C801" s="39" t="s">
        <v>509</v>
      </c>
      <c r="D801" s="74" t="s">
        <v>1227</v>
      </c>
      <c r="E801" s="74" t="s">
        <v>1224</v>
      </c>
      <c r="F801" s="74" t="s">
        <v>1226</v>
      </c>
      <c r="G801" s="74" t="s">
        <v>1226</v>
      </c>
    </row>
    <row r="802" spans="1:7" x14ac:dyDescent="0.2">
      <c r="A802" s="39">
        <v>4021</v>
      </c>
      <c r="B802" s="38" t="s">
        <v>632</v>
      </c>
      <c r="C802" s="39" t="s">
        <v>509</v>
      </c>
      <c r="D802" s="74" t="s">
        <v>1229</v>
      </c>
      <c r="E802" s="74" t="s">
        <v>1224</v>
      </c>
      <c r="F802" s="74" t="s">
        <v>1225</v>
      </c>
      <c r="G802" s="74" t="s">
        <v>1226</v>
      </c>
    </row>
    <row r="803" spans="1:7" x14ac:dyDescent="0.2">
      <c r="A803" s="39">
        <v>4025</v>
      </c>
      <c r="B803" s="38" t="s">
        <v>630</v>
      </c>
      <c r="C803" s="39" t="s">
        <v>509</v>
      </c>
      <c r="D803" s="74" t="s">
        <v>1229</v>
      </c>
      <c r="E803" s="74" t="s">
        <v>1224</v>
      </c>
      <c r="F803" s="74" t="s">
        <v>1225</v>
      </c>
      <c r="G803" s="74" t="s">
        <v>1226</v>
      </c>
    </row>
    <row r="804" spans="1:7" x14ac:dyDescent="0.2">
      <c r="A804" s="39">
        <v>4026</v>
      </c>
      <c r="B804" s="38" t="s">
        <v>630</v>
      </c>
      <c r="C804" s="39" t="s">
        <v>509</v>
      </c>
      <c r="D804" s="74" t="s">
        <v>1229</v>
      </c>
      <c r="E804" s="74" t="s">
        <v>1224</v>
      </c>
      <c r="F804" s="74" t="s">
        <v>1225</v>
      </c>
      <c r="G804" s="74" t="s">
        <v>1226</v>
      </c>
    </row>
    <row r="805" spans="1:7" x14ac:dyDescent="0.2">
      <c r="A805" s="39">
        <v>4029</v>
      </c>
      <c r="B805" s="38" t="s">
        <v>630</v>
      </c>
      <c r="C805" s="39" t="s">
        <v>509</v>
      </c>
      <c r="D805" s="74" t="s">
        <v>1229</v>
      </c>
      <c r="E805" s="74" t="s">
        <v>1224</v>
      </c>
      <c r="F805" s="74" t="s">
        <v>1225</v>
      </c>
      <c r="G805" s="74" t="s">
        <v>1226</v>
      </c>
    </row>
    <row r="806" spans="1:7" x14ac:dyDescent="0.2">
      <c r="A806" s="39">
        <v>4030</v>
      </c>
      <c r="B806" s="38" t="s">
        <v>631</v>
      </c>
      <c r="C806" s="39" t="s">
        <v>509</v>
      </c>
      <c r="D806" s="74" t="s">
        <v>1227</v>
      </c>
      <c r="E806" s="74" t="s">
        <v>1224</v>
      </c>
      <c r="F806" s="74" t="s">
        <v>1226</v>
      </c>
      <c r="G806" s="74" t="s">
        <v>1226</v>
      </c>
    </row>
    <row r="807" spans="1:7" x14ac:dyDescent="0.2">
      <c r="A807" s="39">
        <v>4031</v>
      </c>
      <c r="B807" s="38" t="s">
        <v>632</v>
      </c>
      <c r="C807" s="39" t="s">
        <v>509</v>
      </c>
      <c r="D807" s="74" t="s">
        <v>1229</v>
      </c>
      <c r="E807" s="74" t="s">
        <v>1224</v>
      </c>
      <c r="F807" s="74" t="s">
        <v>1225</v>
      </c>
      <c r="G807" s="74" t="s">
        <v>1226</v>
      </c>
    </row>
    <row r="808" spans="1:7" x14ac:dyDescent="0.2">
      <c r="A808" s="39">
        <v>4033</v>
      </c>
      <c r="B808" s="38" t="s">
        <v>1508</v>
      </c>
      <c r="C808" s="39" t="s">
        <v>509</v>
      </c>
      <c r="D808" s="74" t="s">
        <v>1229</v>
      </c>
      <c r="E808" s="74" t="s">
        <v>1224</v>
      </c>
      <c r="F808" s="74" t="s">
        <v>1225</v>
      </c>
      <c r="G808" s="74" t="s">
        <v>1226</v>
      </c>
    </row>
    <row r="809" spans="1:7" x14ac:dyDescent="0.2">
      <c r="A809" s="39">
        <v>4034</v>
      </c>
      <c r="B809" s="38" t="s">
        <v>630</v>
      </c>
      <c r="C809" s="39" t="s">
        <v>509</v>
      </c>
      <c r="D809" s="74" t="s">
        <v>1229</v>
      </c>
      <c r="E809" s="74" t="s">
        <v>1224</v>
      </c>
      <c r="F809" s="74" t="s">
        <v>1225</v>
      </c>
      <c r="G809" s="74" t="s">
        <v>1226</v>
      </c>
    </row>
    <row r="810" spans="1:7" x14ac:dyDescent="0.2">
      <c r="A810" s="39">
        <v>4040</v>
      </c>
      <c r="B810" s="38" t="s">
        <v>631</v>
      </c>
      <c r="C810" s="39" t="s">
        <v>509</v>
      </c>
      <c r="D810" s="74" t="s">
        <v>1227</v>
      </c>
      <c r="E810" s="74" t="s">
        <v>1224</v>
      </c>
      <c r="F810" s="74" t="s">
        <v>1226</v>
      </c>
      <c r="G810" s="74" t="s">
        <v>1226</v>
      </c>
    </row>
    <row r="811" spans="1:7" x14ac:dyDescent="0.2">
      <c r="A811" s="39">
        <v>4041</v>
      </c>
      <c r="B811" s="38" t="s">
        <v>632</v>
      </c>
      <c r="C811" s="39" t="s">
        <v>509</v>
      </c>
      <c r="D811" s="74" t="s">
        <v>1229</v>
      </c>
      <c r="E811" s="74" t="s">
        <v>1224</v>
      </c>
      <c r="F811" s="74" t="s">
        <v>1225</v>
      </c>
      <c r="G811" s="74" t="s">
        <v>1226</v>
      </c>
    </row>
    <row r="812" spans="1:7" x14ac:dyDescent="0.2">
      <c r="A812" s="39">
        <v>4044</v>
      </c>
      <c r="B812" s="38" t="s">
        <v>630</v>
      </c>
      <c r="C812" s="39" t="s">
        <v>509</v>
      </c>
      <c r="D812" s="74" t="s">
        <v>1229</v>
      </c>
      <c r="E812" s="74" t="s">
        <v>1224</v>
      </c>
      <c r="F812" s="74" t="s">
        <v>1225</v>
      </c>
      <c r="G812" s="74" t="s">
        <v>1226</v>
      </c>
    </row>
    <row r="813" spans="1:7" x14ac:dyDescent="0.2">
      <c r="A813" s="39">
        <v>4046</v>
      </c>
      <c r="B813" s="38" t="s">
        <v>630</v>
      </c>
      <c r="C813" s="39" t="s">
        <v>509</v>
      </c>
      <c r="D813" s="74" t="s">
        <v>1229</v>
      </c>
      <c r="E813" s="74" t="s">
        <v>1224</v>
      </c>
      <c r="F813" s="74" t="s">
        <v>1225</v>
      </c>
      <c r="G813" s="74" t="s">
        <v>1226</v>
      </c>
    </row>
    <row r="814" spans="1:7" x14ac:dyDescent="0.2">
      <c r="A814" s="39">
        <v>4048</v>
      </c>
      <c r="B814" s="38" t="s">
        <v>1509</v>
      </c>
      <c r="C814" s="39" t="s">
        <v>509</v>
      </c>
      <c r="D814" s="74" t="s">
        <v>1227</v>
      </c>
      <c r="E814" s="74" t="s">
        <v>1224</v>
      </c>
      <c r="F814" s="74" t="s">
        <v>1226</v>
      </c>
      <c r="G814" s="74" t="s">
        <v>1226</v>
      </c>
    </row>
    <row r="815" spans="1:7" x14ac:dyDescent="0.2">
      <c r="A815" s="39">
        <v>4050</v>
      </c>
      <c r="B815" s="38" t="s">
        <v>1510</v>
      </c>
      <c r="C815" s="39" t="s">
        <v>509</v>
      </c>
      <c r="D815" s="74" t="s">
        <v>1227</v>
      </c>
      <c r="E815" s="74" t="s">
        <v>1224</v>
      </c>
      <c r="F815" s="74" t="s">
        <v>1226</v>
      </c>
      <c r="G815" s="74" t="s">
        <v>1226</v>
      </c>
    </row>
    <row r="816" spans="1:7" x14ac:dyDescent="0.2">
      <c r="A816" s="39">
        <v>4052</v>
      </c>
      <c r="B816" s="38" t="s">
        <v>1511</v>
      </c>
      <c r="C816" s="39" t="s">
        <v>509</v>
      </c>
      <c r="D816" s="74" t="s">
        <v>1227</v>
      </c>
      <c r="E816" s="74" t="s">
        <v>1224</v>
      </c>
      <c r="F816" s="74" t="s">
        <v>1226</v>
      </c>
      <c r="G816" s="74" t="s">
        <v>1226</v>
      </c>
    </row>
    <row r="817" spans="1:7" x14ac:dyDescent="0.2">
      <c r="A817" s="39">
        <v>4053</v>
      </c>
      <c r="B817" s="38" t="s">
        <v>1512</v>
      </c>
      <c r="C817" s="39" t="s">
        <v>509</v>
      </c>
      <c r="D817" s="74" t="s">
        <v>1227</v>
      </c>
      <c r="E817" s="74" t="s">
        <v>1224</v>
      </c>
      <c r="F817" s="74" t="s">
        <v>1226</v>
      </c>
      <c r="G817" s="74" t="s">
        <v>1226</v>
      </c>
    </row>
    <row r="818" spans="1:7" x14ac:dyDescent="0.2">
      <c r="A818" s="39">
        <v>4055</v>
      </c>
      <c r="B818" s="38" t="s">
        <v>1513</v>
      </c>
      <c r="C818" s="39" t="s">
        <v>509</v>
      </c>
      <c r="D818" s="74" t="s">
        <v>1227</v>
      </c>
      <c r="E818" s="74" t="s">
        <v>1224</v>
      </c>
      <c r="F818" s="74" t="s">
        <v>1226</v>
      </c>
      <c r="G818" s="74" t="s">
        <v>1225</v>
      </c>
    </row>
    <row r="819" spans="1:7" x14ac:dyDescent="0.2">
      <c r="A819" s="39">
        <v>4059</v>
      </c>
      <c r="B819" s="38" t="s">
        <v>1514</v>
      </c>
      <c r="C819" s="39" t="s">
        <v>509</v>
      </c>
      <c r="D819" s="74" t="s">
        <v>1229</v>
      </c>
      <c r="E819" s="74" t="s">
        <v>1224</v>
      </c>
      <c r="F819" s="74" t="s">
        <v>1225</v>
      </c>
      <c r="G819" s="74" t="s">
        <v>1226</v>
      </c>
    </row>
    <row r="820" spans="1:7" x14ac:dyDescent="0.2">
      <c r="A820" s="39">
        <v>4060</v>
      </c>
      <c r="B820" s="38" t="s">
        <v>1514</v>
      </c>
      <c r="C820" s="39" t="s">
        <v>509</v>
      </c>
      <c r="D820" s="74" t="s">
        <v>1227</v>
      </c>
      <c r="E820" s="74" t="s">
        <v>1224</v>
      </c>
      <c r="F820" s="74" t="s">
        <v>1226</v>
      </c>
      <c r="G820" s="74" t="s">
        <v>1226</v>
      </c>
    </row>
    <row r="821" spans="1:7" x14ac:dyDescent="0.2">
      <c r="A821" s="39">
        <v>4061</v>
      </c>
      <c r="B821" s="38" t="s">
        <v>1515</v>
      </c>
      <c r="C821" s="39" t="s">
        <v>509</v>
      </c>
      <c r="D821" s="74" t="s">
        <v>1227</v>
      </c>
      <c r="E821" s="74" t="s">
        <v>1224</v>
      </c>
      <c r="F821" s="74" t="s">
        <v>1226</v>
      </c>
      <c r="G821" s="74" t="s">
        <v>1226</v>
      </c>
    </row>
    <row r="822" spans="1:7" x14ac:dyDescent="0.2">
      <c r="A822" s="39">
        <v>4062</v>
      </c>
      <c r="B822" s="38" t="s">
        <v>1516</v>
      </c>
      <c r="C822" s="39" t="s">
        <v>509</v>
      </c>
      <c r="D822" s="74" t="s">
        <v>1227</v>
      </c>
      <c r="E822" s="74" t="s">
        <v>1224</v>
      </c>
      <c r="F822" s="74" t="s">
        <v>1226</v>
      </c>
      <c r="G822" s="74" t="s">
        <v>1225</v>
      </c>
    </row>
    <row r="823" spans="1:7" x14ac:dyDescent="0.2">
      <c r="A823" s="39">
        <v>4063</v>
      </c>
      <c r="B823" s="38" t="s">
        <v>1517</v>
      </c>
      <c r="C823" s="39" t="s">
        <v>509</v>
      </c>
      <c r="D823" s="74" t="s">
        <v>1227</v>
      </c>
      <c r="E823" s="74" t="s">
        <v>1224</v>
      </c>
      <c r="F823" s="74" t="s">
        <v>1226</v>
      </c>
      <c r="G823" s="74" t="s">
        <v>1226</v>
      </c>
    </row>
    <row r="824" spans="1:7" x14ac:dyDescent="0.2">
      <c r="A824" s="39">
        <v>4064</v>
      </c>
      <c r="B824" s="38" t="s">
        <v>1518</v>
      </c>
      <c r="C824" s="39" t="s">
        <v>509</v>
      </c>
      <c r="D824" s="74" t="s">
        <v>1227</v>
      </c>
      <c r="E824" s="74" t="s">
        <v>1224</v>
      </c>
      <c r="F824" s="74" t="s">
        <v>1226</v>
      </c>
      <c r="G824" s="74" t="s">
        <v>1226</v>
      </c>
    </row>
    <row r="825" spans="1:7" x14ac:dyDescent="0.2">
      <c r="A825" s="39">
        <v>4066</v>
      </c>
      <c r="B825" s="38" t="s">
        <v>1515</v>
      </c>
      <c r="C825" s="39" t="s">
        <v>509</v>
      </c>
      <c r="D825" s="74" t="s">
        <v>1229</v>
      </c>
      <c r="E825" s="74" t="s">
        <v>1224</v>
      </c>
      <c r="F825" s="74" t="s">
        <v>1225</v>
      </c>
      <c r="G825" s="74" t="s">
        <v>1226</v>
      </c>
    </row>
    <row r="826" spans="1:7" x14ac:dyDescent="0.2">
      <c r="A826" s="39">
        <v>4069</v>
      </c>
      <c r="B826" s="38" t="s">
        <v>1514</v>
      </c>
      <c r="C826" s="39" t="s">
        <v>509</v>
      </c>
      <c r="D826" s="74" t="s">
        <v>1229</v>
      </c>
      <c r="E826" s="74" t="s">
        <v>1224</v>
      </c>
      <c r="F826" s="74" t="s">
        <v>1225</v>
      </c>
      <c r="G826" s="74" t="s">
        <v>1226</v>
      </c>
    </row>
    <row r="827" spans="1:7" x14ac:dyDescent="0.2">
      <c r="A827" s="39">
        <v>4070</v>
      </c>
      <c r="B827" s="38" t="s">
        <v>1519</v>
      </c>
      <c r="C827" s="39" t="s">
        <v>509</v>
      </c>
      <c r="D827" s="74" t="s">
        <v>1227</v>
      </c>
      <c r="E827" s="74" t="s">
        <v>1224</v>
      </c>
      <c r="F827" s="74" t="s">
        <v>1226</v>
      </c>
      <c r="G827" s="74" t="s">
        <v>1226</v>
      </c>
    </row>
    <row r="828" spans="1:7" x14ac:dyDescent="0.2">
      <c r="A828" s="39">
        <v>4072</v>
      </c>
      <c r="B828" s="38" t="s">
        <v>1520</v>
      </c>
      <c r="C828" s="39" t="s">
        <v>509</v>
      </c>
      <c r="D828" s="74" t="s">
        <v>1227</v>
      </c>
      <c r="E828" s="74" t="s">
        <v>1224</v>
      </c>
      <c r="F828" s="74" t="s">
        <v>1226</v>
      </c>
      <c r="G828" s="74" t="s">
        <v>1226</v>
      </c>
    </row>
    <row r="829" spans="1:7" x14ac:dyDescent="0.2">
      <c r="A829" s="39">
        <v>4073</v>
      </c>
      <c r="B829" s="38" t="s">
        <v>1521</v>
      </c>
      <c r="C829" s="39" t="s">
        <v>509</v>
      </c>
      <c r="D829" s="74" t="s">
        <v>1227</v>
      </c>
      <c r="E829" s="74" t="s">
        <v>1224</v>
      </c>
      <c r="F829" s="74" t="s">
        <v>1226</v>
      </c>
      <c r="G829" s="74" t="s">
        <v>1226</v>
      </c>
    </row>
    <row r="830" spans="1:7" x14ac:dyDescent="0.2">
      <c r="A830" s="39">
        <v>4074</v>
      </c>
      <c r="B830" s="38" t="s">
        <v>1522</v>
      </c>
      <c r="C830" s="39" t="s">
        <v>509</v>
      </c>
      <c r="D830" s="74" t="s">
        <v>1227</v>
      </c>
      <c r="E830" s="74" t="s">
        <v>1224</v>
      </c>
      <c r="F830" s="74" t="s">
        <v>1226</v>
      </c>
      <c r="G830" s="74" t="s">
        <v>1225</v>
      </c>
    </row>
    <row r="831" spans="1:7" x14ac:dyDescent="0.2">
      <c r="A831" s="39">
        <v>4075</v>
      </c>
      <c r="B831" s="38" t="s">
        <v>1523</v>
      </c>
      <c r="C831" s="39" t="s">
        <v>509</v>
      </c>
      <c r="D831" s="74" t="s">
        <v>1227</v>
      </c>
      <c r="E831" s="74" t="s">
        <v>1224</v>
      </c>
      <c r="F831" s="74" t="s">
        <v>1226</v>
      </c>
      <c r="G831" s="74" t="s">
        <v>1225</v>
      </c>
    </row>
    <row r="832" spans="1:7" x14ac:dyDescent="0.2">
      <c r="A832" s="39">
        <v>4076</v>
      </c>
      <c r="B832" s="38" t="s">
        <v>1524</v>
      </c>
      <c r="C832" s="39" t="s">
        <v>509</v>
      </c>
      <c r="D832" s="74" t="s">
        <v>1227</v>
      </c>
      <c r="E832" s="74" t="s">
        <v>1224</v>
      </c>
      <c r="F832" s="74" t="s">
        <v>1226</v>
      </c>
      <c r="G832" s="74" t="s">
        <v>1225</v>
      </c>
    </row>
    <row r="833" spans="1:7" x14ac:dyDescent="0.2">
      <c r="A833" s="39">
        <v>4081</v>
      </c>
      <c r="B833" s="38" t="s">
        <v>1525</v>
      </c>
      <c r="C833" s="39" t="s">
        <v>509</v>
      </c>
      <c r="D833" s="74" t="s">
        <v>1227</v>
      </c>
      <c r="E833" s="74" t="s">
        <v>1224</v>
      </c>
      <c r="F833" s="74" t="s">
        <v>1226</v>
      </c>
      <c r="G833" s="74" t="s">
        <v>1226</v>
      </c>
    </row>
    <row r="834" spans="1:7" x14ac:dyDescent="0.2">
      <c r="A834" s="39">
        <v>4082</v>
      </c>
      <c r="B834" s="38" t="s">
        <v>1526</v>
      </c>
      <c r="C834" s="39" t="s">
        <v>509</v>
      </c>
      <c r="D834" s="74" t="s">
        <v>1227</v>
      </c>
      <c r="E834" s="74" t="s">
        <v>1224</v>
      </c>
      <c r="F834" s="74" t="s">
        <v>1226</v>
      </c>
      <c r="G834" s="74" t="s">
        <v>1225</v>
      </c>
    </row>
    <row r="835" spans="1:7" x14ac:dyDescent="0.2">
      <c r="A835" s="39">
        <v>4083</v>
      </c>
      <c r="B835" s="38" t="s">
        <v>634</v>
      </c>
      <c r="C835" s="39" t="s">
        <v>509</v>
      </c>
      <c r="D835" s="74" t="s">
        <v>1227</v>
      </c>
      <c r="E835" s="74" t="s">
        <v>1224</v>
      </c>
      <c r="F835" s="74" t="s">
        <v>1226</v>
      </c>
      <c r="G835" s="74" t="s">
        <v>1226</v>
      </c>
    </row>
    <row r="836" spans="1:7" x14ac:dyDescent="0.2">
      <c r="A836" s="39">
        <v>4084</v>
      </c>
      <c r="B836" s="38" t="s">
        <v>635</v>
      </c>
      <c r="C836" s="39" t="s">
        <v>509</v>
      </c>
      <c r="D836" s="74" t="s">
        <v>1227</v>
      </c>
      <c r="E836" s="74" t="s">
        <v>1224</v>
      </c>
      <c r="F836" s="74" t="s">
        <v>1226</v>
      </c>
      <c r="G836" s="74" t="s">
        <v>1225</v>
      </c>
    </row>
    <row r="837" spans="1:7" x14ac:dyDescent="0.2">
      <c r="A837" s="39">
        <v>4085</v>
      </c>
      <c r="B837" s="38" t="s">
        <v>636</v>
      </c>
      <c r="C837" s="39" t="s">
        <v>509</v>
      </c>
      <c r="D837" s="74" t="s">
        <v>1227</v>
      </c>
      <c r="E837" s="74" t="s">
        <v>1224</v>
      </c>
      <c r="F837" s="74" t="s">
        <v>1226</v>
      </c>
      <c r="G837" s="74" t="s">
        <v>1226</v>
      </c>
    </row>
    <row r="838" spans="1:7" x14ac:dyDescent="0.2">
      <c r="A838" s="39">
        <v>4090</v>
      </c>
      <c r="B838" s="38" t="s">
        <v>637</v>
      </c>
      <c r="C838" s="39" t="s">
        <v>509</v>
      </c>
      <c r="D838" s="74" t="s">
        <v>1227</v>
      </c>
      <c r="E838" s="74" t="s">
        <v>1224</v>
      </c>
      <c r="F838" s="74" t="s">
        <v>1226</v>
      </c>
      <c r="G838" s="74" t="s">
        <v>1226</v>
      </c>
    </row>
    <row r="839" spans="1:7" x14ac:dyDescent="0.2">
      <c r="A839" s="39">
        <v>4091</v>
      </c>
      <c r="B839" s="38" t="s">
        <v>638</v>
      </c>
      <c r="C839" s="39" t="s">
        <v>509</v>
      </c>
      <c r="D839" s="74" t="s">
        <v>1227</v>
      </c>
      <c r="E839" s="74" t="s">
        <v>1224</v>
      </c>
      <c r="F839" s="74" t="s">
        <v>1226</v>
      </c>
      <c r="G839" s="74" t="s">
        <v>1225</v>
      </c>
    </row>
    <row r="840" spans="1:7" x14ac:dyDescent="0.2">
      <c r="A840" s="39">
        <v>4092</v>
      </c>
      <c r="B840" s="38" t="s">
        <v>639</v>
      </c>
      <c r="C840" s="39" t="s">
        <v>509</v>
      </c>
      <c r="D840" s="74" t="s">
        <v>1227</v>
      </c>
      <c r="E840" s="74" t="s">
        <v>1224</v>
      </c>
      <c r="F840" s="74" t="s">
        <v>1226</v>
      </c>
      <c r="G840" s="74" t="s">
        <v>1226</v>
      </c>
    </row>
    <row r="841" spans="1:7" x14ac:dyDescent="0.2">
      <c r="A841" s="39">
        <v>4100</v>
      </c>
      <c r="B841" s="38" t="s">
        <v>640</v>
      </c>
      <c r="C841" s="39" t="s">
        <v>509</v>
      </c>
      <c r="D841" s="74" t="s">
        <v>1227</v>
      </c>
      <c r="E841" s="74" t="s">
        <v>1224</v>
      </c>
      <c r="F841" s="74" t="s">
        <v>1226</v>
      </c>
      <c r="G841" s="74" t="s">
        <v>1226</v>
      </c>
    </row>
    <row r="842" spans="1:7" x14ac:dyDescent="0.2">
      <c r="A842" s="39">
        <v>4101</v>
      </c>
      <c r="B842" s="38" t="s">
        <v>641</v>
      </c>
      <c r="C842" s="39" t="s">
        <v>509</v>
      </c>
      <c r="D842" s="74" t="s">
        <v>1227</v>
      </c>
      <c r="E842" s="74" t="s">
        <v>1224</v>
      </c>
      <c r="F842" s="74" t="s">
        <v>1226</v>
      </c>
      <c r="G842" s="74" t="s">
        <v>1226</v>
      </c>
    </row>
    <row r="843" spans="1:7" x14ac:dyDescent="0.2">
      <c r="A843" s="39">
        <v>4111</v>
      </c>
      <c r="B843" s="38" t="s">
        <v>642</v>
      </c>
      <c r="C843" s="39" t="s">
        <v>509</v>
      </c>
      <c r="D843" s="74" t="s">
        <v>1227</v>
      </c>
      <c r="E843" s="74" t="s">
        <v>1224</v>
      </c>
      <c r="F843" s="74" t="s">
        <v>1226</v>
      </c>
      <c r="G843" s="74" t="s">
        <v>1226</v>
      </c>
    </row>
    <row r="844" spans="1:7" x14ac:dyDescent="0.2">
      <c r="A844" s="39">
        <v>4112</v>
      </c>
      <c r="B844" s="38" t="s">
        <v>643</v>
      </c>
      <c r="C844" s="39" t="s">
        <v>509</v>
      </c>
      <c r="D844" s="74" t="s">
        <v>1227</v>
      </c>
      <c r="E844" s="74" t="s">
        <v>1224</v>
      </c>
      <c r="F844" s="74" t="s">
        <v>1226</v>
      </c>
      <c r="G844" s="74" t="s">
        <v>1225</v>
      </c>
    </row>
    <row r="845" spans="1:7" x14ac:dyDescent="0.2">
      <c r="A845" s="39">
        <v>4113</v>
      </c>
      <c r="B845" s="38" t="s">
        <v>644</v>
      </c>
      <c r="C845" s="39" t="s">
        <v>509</v>
      </c>
      <c r="D845" s="74" t="s">
        <v>1227</v>
      </c>
      <c r="E845" s="74" t="s">
        <v>1224</v>
      </c>
      <c r="F845" s="74" t="s">
        <v>1226</v>
      </c>
      <c r="G845" s="74" t="s">
        <v>1226</v>
      </c>
    </row>
    <row r="846" spans="1:7" x14ac:dyDescent="0.2">
      <c r="A846" s="39">
        <v>4114</v>
      </c>
      <c r="B846" s="38" t="s">
        <v>645</v>
      </c>
      <c r="C846" s="39" t="s">
        <v>509</v>
      </c>
      <c r="D846" s="74" t="s">
        <v>1227</v>
      </c>
      <c r="E846" s="74" t="s">
        <v>1224</v>
      </c>
      <c r="F846" s="74" t="s">
        <v>1226</v>
      </c>
      <c r="G846" s="74" t="s">
        <v>1225</v>
      </c>
    </row>
    <row r="847" spans="1:7" x14ac:dyDescent="0.2">
      <c r="A847" s="39">
        <v>4115</v>
      </c>
      <c r="B847" s="38" t="s">
        <v>646</v>
      </c>
      <c r="C847" s="39" t="s">
        <v>509</v>
      </c>
      <c r="D847" s="74" t="s">
        <v>1227</v>
      </c>
      <c r="E847" s="74" t="s">
        <v>1224</v>
      </c>
      <c r="F847" s="74" t="s">
        <v>1226</v>
      </c>
      <c r="G847" s="74" t="s">
        <v>1225</v>
      </c>
    </row>
    <row r="848" spans="1:7" x14ac:dyDescent="0.2">
      <c r="A848" s="39">
        <v>4120</v>
      </c>
      <c r="B848" s="38" t="s">
        <v>647</v>
      </c>
      <c r="C848" s="39" t="s">
        <v>509</v>
      </c>
      <c r="D848" s="74" t="s">
        <v>1227</v>
      </c>
      <c r="E848" s="74" t="s">
        <v>1224</v>
      </c>
      <c r="F848" s="74" t="s">
        <v>1226</v>
      </c>
      <c r="G848" s="74" t="s">
        <v>1226</v>
      </c>
    </row>
    <row r="849" spans="1:7" x14ac:dyDescent="0.2">
      <c r="A849" s="39">
        <v>4121</v>
      </c>
      <c r="B849" s="38" t="s">
        <v>648</v>
      </c>
      <c r="C849" s="39" t="s">
        <v>509</v>
      </c>
      <c r="D849" s="74" t="s">
        <v>1227</v>
      </c>
      <c r="E849" s="74" t="s">
        <v>1224</v>
      </c>
      <c r="F849" s="74" t="s">
        <v>1226</v>
      </c>
      <c r="G849" s="74" t="s">
        <v>1226</v>
      </c>
    </row>
    <row r="850" spans="1:7" x14ac:dyDescent="0.2">
      <c r="A850" s="39">
        <v>4122</v>
      </c>
      <c r="B850" s="38" t="s">
        <v>649</v>
      </c>
      <c r="C850" s="39" t="s">
        <v>509</v>
      </c>
      <c r="D850" s="74" t="s">
        <v>1227</v>
      </c>
      <c r="E850" s="74" t="s">
        <v>1224</v>
      </c>
      <c r="F850" s="74" t="s">
        <v>1226</v>
      </c>
      <c r="G850" s="74" t="s">
        <v>1225</v>
      </c>
    </row>
    <row r="851" spans="1:7" x14ac:dyDescent="0.2">
      <c r="A851" s="39">
        <v>4131</v>
      </c>
      <c r="B851" s="38" t="s">
        <v>650</v>
      </c>
      <c r="C851" s="39" t="s">
        <v>509</v>
      </c>
      <c r="D851" s="74" t="s">
        <v>1227</v>
      </c>
      <c r="E851" s="74" t="s">
        <v>1224</v>
      </c>
      <c r="F851" s="74" t="s">
        <v>1226</v>
      </c>
      <c r="G851" s="74" t="s">
        <v>1225</v>
      </c>
    </row>
    <row r="852" spans="1:7" x14ac:dyDescent="0.2">
      <c r="A852" s="39">
        <v>4132</v>
      </c>
      <c r="B852" s="38" t="s">
        <v>1574</v>
      </c>
      <c r="C852" s="39" t="s">
        <v>509</v>
      </c>
      <c r="D852" s="74" t="s">
        <v>1227</v>
      </c>
      <c r="E852" s="74" t="s">
        <v>1224</v>
      </c>
      <c r="F852" s="74" t="s">
        <v>1226</v>
      </c>
      <c r="G852" s="74" t="s">
        <v>1226</v>
      </c>
    </row>
    <row r="853" spans="1:7" x14ac:dyDescent="0.2">
      <c r="A853" s="39">
        <v>4133</v>
      </c>
      <c r="B853" s="38" t="s">
        <v>1575</v>
      </c>
      <c r="C853" s="39" t="s">
        <v>509</v>
      </c>
      <c r="D853" s="74" t="s">
        <v>1227</v>
      </c>
      <c r="E853" s="74" t="s">
        <v>1224</v>
      </c>
      <c r="F853" s="74" t="s">
        <v>1226</v>
      </c>
      <c r="G853" s="74" t="s">
        <v>1225</v>
      </c>
    </row>
    <row r="854" spans="1:7" x14ac:dyDescent="0.2">
      <c r="A854" s="39">
        <v>4134</v>
      </c>
      <c r="B854" s="38" t="s">
        <v>1576</v>
      </c>
      <c r="C854" s="39" t="s">
        <v>509</v>
      </c>
      <c r="D854" s="74" t="s">
        <v>1227</v>
      </c>
      <c r="E854" s="74" t="s">
        <v>1224</v>
      </c>
      <c r="F854" s="74" t="s">
        <v>1226</v>
      </c>
      <c r="G854" s="74" t="s">
        <v>1225</v>
      </c>
    </row>
    <row r="855" spans="1:7" x14ac:dyDescent="0.2">
      <c r="A855" s="39">
        <v>4141</v>
      </c>
      <c r="B855" s="38" t="s">
        <v>1577</v>
      </c>
      <c r="C855" s="39" t="s">
        <v>509</v>
      </c>
      <c r="D855" s="74" t="s">
        <v>1227</v>
      </c>
      <c r="E855" s="74" t="s">
        <v>1224</v>
      </c>
      <c r="F855" s="74" t="s">
        <v>1226</v>
      </c>
      <c r="G855" s="74" t="s">
        <v>1225</v>
      </c>
    </row>
    <row r="856" spans="1:7" x14ac:dyDescent="0.2">
      <c r="A856" s="39">
        <v>4142</v>
      </c>
      <c r="B856" s="38" t="s">
        <v>1578</v>
      </c>
      <c r="C856" s="39" t="s">
        <v>509</v>
      </c>
      <c r="D856" s="74" t="s">
        <v>1227</v>
      </c>
      <c r="E856" s="74" t="s">
        <v>1224</v>
      </c>
      <c r="F856" s="74" t="s">
        <v>1226</v>
      </c>
      <c r="G856" s="74" t="s">
        <v>1226</v>
      </c>
    </row>
    <row r="857" spans="1:7" x14ac:dyDescent="0.2">
      <c r="A857" s="39">
        <v>4143</v>
      </c>
      <c r="B857" s="38" t="s">
        <v>1579</v>
      </c>
      <c r="C857" s="39" t="s">
        <v>509</v>
      </c>
      <c r="D857" s="74" t="s">
        <v>1227</v>
      </c>
      <c r="E857" s="74" t="s">
        <v>1224</v>
      </c>
      <c r="F857" s="74" t="s">
        <v>1226</v>
      </c>
      <c r="G857" s="74" t="s">
        <v>1226</v>
      </c>
    </row>
    <row r="858" spans="1:7" x14ac:dyDescent="0.2">
      <c r="A858" s="39">
        <v>4144</v>
      </c>
      <c r="B858" s="38" t="s">
        <v>1580</v>
      </c>
      <c r="C858" s="39" t="s">
        <v>509</v>
      </c>
      <c r="D858" s="74" t="s">
        <v>1227</v>
      </c>
      <c r="E858" s="74" t="s">
        <v>1224</v>
      </c>
      <c r="F858" s="74" t="s">
        <v>1226</v>
      </c>
      <c r="G858" s="74" t="s">
        <v>1225</v>
      </c>
    </row>
    <row r="859" spans="1:7" x14ac:dyDescent="0.2">
      <c r="A859" s="39">
        <v>4150</v>
      </c>
      <c r="B859" s="38" t="s">
        <v>1581</v>
      </c>
      <c r="C859" s="39" t="s">
        <v>509</v>
      </c>
      <c r="D859" s="74" t="s">
        <v>1227</v>
      </c>
      <c r="E859" s="74" t="s">
        <v>1224</v>
      </c>
      <c r="F859" s="74" t="s">
        <v>1226</v>
      </c>
      <c r="G859" s="74" t="s">
        <v>1226</v>
      </c>
    </row>
    <row r="860" spans="1:7" x14ac:dyDescent="0.2">
      <c r="A860" s="39">
        <v>4152</v>
      </c>
      <c r="B860" s="38" t="s">
        <v>1582</v>
      </c>
      <c r="C860" s="39" t="s">
        <v>509</v>
      </c>
      <c r="D860" s="74" t="s">
        <v>1227</v>
      </c>
      <c r="E860" s="74" t="s">
        <v>1224</v>
      </c>
      <c r="F860" s="74" t="s">
        <v>1226</v>
      </c>
      <c r="G860" s="74" t="s">
        <v>1225</v>
      </c>
    </row>
    <row r="861" spans="1:7" x14ac:dyDescent="0.2">
      <c r="A861" s="39">
        <v>4153</v>
      </c>
      <c r="B861" s="38" t="s">
        <v>1583</v>
      </c>
      <c r="C861" s="39" t="s">
        <v>509</v>
      </c>
      <c r="D861" s="74" t="s">
        <v>1227</v>
      </c>
      <c r="E861" s="74" t="s">
        <v>1224</v>
      </c>
      <c r="F861" s="74" t="s">
        <v>1226</v>
      </c>
      <c r="G861" s="74" t="s">
        <v>1226</v>
      </c>
    </row>
    <row r="862" spans="1:7" x14ac:dyDescent="0.2">
      <c r="A862" s="39">
        <v>4154</v>
      </c>
      <c r="B862" s="38" t="s">
        <v>1584</v>
      </c>
      <c r="C862" s="39" t="s">
        <v>509</v>
      </c>
      <c r="D862" s="74" t="s">
        <v>1227</v>
      </c>
      <c r="E862" s="74" t="s">
        <v>1224</v>
      </c>
      <c r="F862" s="74" t="s">
        <v>1226</v>
      </c>
      <c r="G862" s="74" t="s">
        <v>1225</v>
      </c>
    </row>
    <row r="863" spans="1:7" x14ac:dyDescent="0.2">
      <c r="A863" s="39">
        <v>4160</v>
      </c>
      <c r="B863" s="38" t="s">
        <v>1585</v>
      </c>
      <c r="C863" s="39" t="s">
        <v>509</v>
      </c>
      <c r="D863" s="74" t="s">
        <v>1227</v>
      </c>
      <c r="E863" s="74" t="s">
        <v>1224</v>
      </c>
      <c r="F863" s="74" t="s">
        <v>1226</v>
      </c>
      <c r="G863" s="74" t="s">
        <v>1226</v>
      </c>
    </row>
    <row r="864" spans="1:7" x14ac:dyDescent="0.2">
      <c r="A864" s="39">
        <v>4161</v>
      </c>
      <c r="B864" s="38" t="s">
        <v>1586</v>
      </c>
      <c r="C864" s="39" t="s">
        <v>509</v>
      </c>
      <c r="D864" s="74" t="s">
        <v>1227</v>
      </c>
      <c r="E864" s="74" t="s">
        <v>1224</v>
      </c>
      <c r="F864" s="74" t="s">
        <v>1226</v>
      </c>
      <c r="G864" s="74" t="s">
        <v>1226</v>
      </c>
    </row>
    <row r="865" spans="1:7" x14ac:dyDescent="0.2">
      <c r="A865" s="39">
        <v>4162</v>
      </c>
      <c r="B865" s="38" t="s">
        <v>1587</v>
      </c>
      <c r="C865" s="39" t="s">
        <v>509</v>
      </c>
      <c r="D865" s="74" t="s">
        <v>1227</v>
      </c>
      <c r="E865" s="74" t="s">
        <v>1224</v>
      </c>
      <c r="F865" s="74" t="s">
        <v>1226</v>
      </c>
      <c r="G865" s="74" t="s">
        <v>1225</v>
      </c>
    </row>
    <row r="866" spans="1:7" x14ac:dyDescent="0.2">
      <c r="A866" s="39">
        <v>4163</v>
      </c>
      <c r="B866" s="38" t="s">
        <v>1588</v>
      </c>
      <c r="C866" s="39" t="s">
        <v>509</v>
      </c>
      <c r="D866" s="74" t="s">
        <v>1227</v>
      </c>
      <c r="E866" s="74" t="s">
        <v>1224</v>
      </c>
      <c r="F866" s="74" t="s">
        <v>1226</v>
      </c>
      <c r="G866" s="74" t="s">
        <v>1225</v>
      </c>
    </row>
    <row r="867" spans="1:7" x14ac:dyDescent="0.2">
      <c r="A867" s="39">
        <v>4164</v>
      </c>
      <c r="B867" s="38" t="s">
        <v>1589</v>
      </c>
      <c r="C867" s="39" t="s">
        <v>509</v>
      </c>
      <c r="D867" s="74" t="s">
        <v>1227</v>
      </c>
      <c r="E867" s="74" t="s">
        <v>1224</v>
      </c>
      <c r="F867" s="74" t="s">
        <v>1226</v>
      </c>
      <c r="G867" s="74" t="s">
        <v>1225</v>
      </c>
    </row>
    <row r="868" spans="1:7" x14ac:dyDescent="0.2">
      <c r="A868" s="39">
        <v>4170</v>
      </c>
      <c r="B868" s="38" t="s">
        <v>1590</v>
      </c>
      <c r="C868" s="39" t="s">
        <v>509</v>
      </c>
      <c r="D868" s="74" t="s">
        <v>1227</v>
      </c>
      <c r="E868" s="74" t="s">
        <v>1224</v>
      </c>
      <c r="F868" s="74" t="s">
        <v>1226</v>
      </c>
      <c r="G868" s="74" t="s">
        <v>1226</v>
      </c>
    </row>
    <row r="869" spans="1:7" x14ac:dyDescent="0.2">
      <c r="A869" s="39">
        <v>4171</v>
      </c>
      <c r="B869" s="38" t="s">
        <v>1591</v>
      </c>
      <c r="C869" s="39" t="s">
        <v>509</v>
      </c>
      <c r="D869" s="74" t="s">
        <v>1227</v>
      </c>
      <c r="E869" s="74" t="s">
        <v>1224</v>
      </c>
      <c r="F869" s="74" t="s">
        <v>1226</v>
      </c>
      <c r="G869" s="74" t="s">
        <v>1226</v>
      </c>
    </row>
    <row r="870" spans="1:7" x14ac:dyDescent="0.2">
      <c r="A870" s="39">
        <v>4172</v>
      </c>
      <c r="B870" s="38" t="s">
        <v>1593</v>
      </c>
      <c r="C870" s="39" t="s">
        <v>509</v>
      </c>
      <c r="D870" s="74" t="s">
        <v>1227</v>
      </c>
      <c r="E870" s="74" t="s">
        <v>1224</v>
      </c>
      <c r="F870" s="74" t="s">
        <v>1226</v>
      </c>
      <c r="G870" s="74" t="s">
        <v>1225</v>
      </c>
    </row>
    <row r="871" spans="1:7" x14ac:dyDescent="0.2">
      <c r="A871" s="39">
        <v>4173</v>
      </c>
      <c r="B871" s="38" t="s">
        <v>1594</v>
      </c>
      <c r="C871" s="39" t="s">
        <v>509</v>
      </c>
      <c r="D871" s="74" t="s">
        <v>1227</v>
      </c>
      <c r="E871" s="74" t="s">
        <v>1224</v>
      </c>
      <c r="F871" s="74" t="s">
        <v>1226</v>
      </c>
      <c r="G871" s="74" t="s">
        <v>1225</v>
      </c>
    </row>
    <row r="872" spans="1:7" x14ac:dyDescent="0.2">
      <c r="A872" s="39">
        <v>4174</v>
      </c>
      <c r="B872" s="38" t="s">
        <v>1595</v>
      </c>
      <c r="C872" s="39" t="s">
        <v>509</v>
      </c>
      <c r="D872" s="74" t="s">
        <v>1227</v>
      </c>
      <c r="E872" s="74" t="s">
        <v>1224</v>
      </c>
      <c r="F872" s="74" t="s">
        <v>1226</v>
      </c>
      <c r="G872" s="74" t="s">
        <v>1225</v>
      </c>
    </row>
    <row r="873" spans="1:7" x14ac:dyDescent="0.2">
      <c r="A873" s="39">
        <v>4175</v>
      </c>
      <c r="B873" s="38" t="s">
        <v>1596</v>
      </c>
      <c r="C873" s="39" t="s">
        <v>509</v>
      </c>
      <c r="D873" s="74" t="s">
        <v>1227</v>
      </c>
      <c r="E873" s="74" t="s">
        <v>1224</v>
      </c>
      <c r="F873" s="74" t="s">
        <v>1226</v>
      </c>
      <c r="G873" s="74" t="s">
        <v>1226</v>
      </c>
    </row>
    <row r="874" spans="1:7" x14ac:dyDescent="0.2">
      <c r="A874" s="39">
        <v>4180</v>
      </c>
      <c r="B874" s="38" t="s">
        <v>1597</v>
      </c>
      <c r="C874" s="39" t="s">
        <v>509</v>
      </c>
      <c r="D874" s="74" t="s">
        <v>1227</v>
      </c>
      <c r="E874" s="74" t="s">
        <v>1224</v>
      </c>
      <c r="F874" s="74" t="s">
        <v>1226</v>
      </c>
      <c r="G874" s="74" t="s">
        <v>1226</v>
      </c>
    </row>
    <row r="875" spans="1:7" x14ac:dyDescent="0.2">
      <c r="A875" s="39">
        <v>4181</v>
      </c>
      <c r="B875" s="38" t="s">
        <v>1598</v>
      </c>
      <c r="C875" s="39" t="s">
        <v>509</v>
      </c>
      <c r="D875" s="74" t="s">
        <v>1227</v>
      </c>
      <c r="E875" s="74" t="s">
        <v>1224</v>
      </c>
      <c r="F875" s="74" t="s">
        <v>1226</v>
      </c>
      <c r="G875" s="74" t="s">
        <v>1226</v>
      </c>
    </row>
    <row r="876" spans="1:7" x14ac:dyDescent="0.2">
      <c r="A876" s="39">
        <v>4182</v>
      </c>
      <c r="B876" s="38" t="s">
        <v>1599</v>
      </c>
      <c r="C876" s="39" t="s">
        <v>509</v>
      </c>
      <c r="D876" s="74" t="s">
        <v>1227</v>
      </c>
      <c r="E876" s="74" t="s">
        <v>1224</v>
      </c>
      <c r="F876" s="74" t="s">
        <v>1226</v>
      </c>
      <c r="G876" s="74" t="s">
        <v>1225</v>
      </c>
    </row>
    <row r="877" spans="1:7" x14ac:dyDescent="0.2">
      <c r="A877" s="39">
        <v>4183</v>
      </c>
      <c r="B877" s="38" t="s">
        <v>1600</v>
      </c>
      <c r="C877" s="39" t="s">
        <v>509</v>
      </c>
      <c r="D877" s="74" t="s">
        <v>1227</v>
      </c>
      <c r="E877" s="74" t="s">
        <v>1224</v>
      </c>
      <c r="F877" s="74" t="s">
        <v>1226</v>
      </c>
      <c r="G877" s="74" t="s">
        <v>1225</v>
      </c>
    </row>
    <row r="878" spans="1:7" x14ac:dyDescent="0.2">
      <c r="A878" s="39">
        <v>4184</v>
      </c>
      <c r="B878" s="38" t="s">
        <v>1601</v>
      </c>
      <c r="C878" s="39" t="s">
        <v>509</v>
      </c>
      <c r="D878" s="74" t="s">
        <v>1227</v>
      </c>
      <c r="E878" s="74" t="s">
        <v>1224</v>
      </c>
      <c r="F878" s="74" t="s">
        <v>1226</v>
      </c>
      <c r="G878" s="74" t="s">
        <v>1225</v>
      </c>
    </row>
    <row r="879" spans="1:7" x14ac:dyDescent="0.2">
      <c r="A879" s="39">
        <v>4190</v>
      </c>
      <c r="B879" s="38" t="s">
        <v>1602</v>
      </c>
      <c r="C879" s="39" t="s">
        <v>509</v>
      </c>
      <c r="D879" s="74" t="s">
        <v>1227</v>
      </c>
      <c r="E879" s="74" t="s">
        <v>1224</v>
      </c>
      <c r="F879" s="74" t="s">
        <v>1226</v>
      </c>
      <c r="G879" s="74" t="s">
        <v>1226</v>
      </c>
    </row>
    <row r="880" spans="1:7" x14ac:dyDescent="0.2">
      <c r="A880" s="39">
        <v>4191</v>
      </c>
      <c r="B880" s="38" t="s">
        <v>1603</v>
      </c>
      <c r="C880" s="39" t="s">
        <v>509</v>
      </c>
      <c r="D880" s="74" t="s">
        <v>1227</v>
      </c>
      <c r="E880" s="74" t="s">
        <v>1224</v>
      </c>
      <c r="F880" s="74" t="s">
        <v>1226</v>
      </c>
      <c r="G880" s="74" t="s">
        <v>1225</v>
      </c>
    </row>
    <row r="881" spans="1:7" x14ac:dyDescent="0.2">
      <c r="A881" s="39">
        <v>4192</v>
      </c>
      <c r="B881" s="38" t="s">
        <v>1604</v>
      </c>
      <c r="C881" s="39" t="s">
        <v>509</v>
      </c>
      <c r="D881" s="74" t="s">
        <v>1227</v>
      </c>
      <c r="E881" s="74" t="s">
        <v>1224</v>
      </c>
      <c r="F881" s="74" t="s">
        <v>1226</v>
      </c>
      <c r="G881" s="74" t="s">
        <v>1226</v>
      </c>
    </row>
    <row r="882" spans="1:7" x14ac:dyDescent="0.2">
      <c r="A882" s="39">
        <v>4193</v>
      </c>
      <c r="B882" s="38" t="s">
        <v>1605</v>
      </c>
      <c r="C882" s="39" t="s">
        <v>509</v>
      </c>
      <c r="D882" s="74" t="s">
        <v>1227</v>
      </c>
      <c r="E882" s="74" t="s">
        <v>1224</v>
      </c>
      <c r="F882" s="74" t="s">
        <v>1226</v>
      </c>
      <c r="G882" s="74" t="s">
        <v>1226</v>
      </c>
    </row>
    <row r="883" spans="1:7" x14ac:dyDescent="0.2">
      <c r="A883" s="39">
        <v>4201</v>
      </c>
      <c r="B883" s="38" t="s">
        <v>1606</v>
      </c>
      <c r="C883" s="39" t="s">
        <v>509</v>
      </c>
      <c r="D883" s="74" t="s">
        <v>1227</v>
      </c>
      <c r="E883" s="74" t="s">
        <v>1224</v>
      </c>
      <c r="F883" s="74" t="s">
        <v>1226</v>
      </c>
      <c r="G883" s="74" t="s">
        <v>1226</v>
      </c>
    </row>
    <row r="884" spans="1:7" x14ac:dyDescent="0.2">
      <c r="A884" s="39">
        <v>4202</v>
      </c>
      <c r="B884" s="38" t="s">
        <v>1607</v>
      </c>
      <c r="C884" s="39" t="s">
        <v>509</v>
      </c>
      <c r="D884" s="74" t="s">
        <v>1227</v>
      </c>
      <c r="E884" s="74" t="s">
        <v>1224</v>
      </c>
      <c r="F884" s="74" t="s">
        <v>1226</v>
      </c>
      <c r="G884" s="74" t="s">
        <v>1226</v>
      </c>
    </row>
    <row r="885" spans="1:7" x14ac:dyDescent="0.2">
      <c r="A885" s="39">
        <v>4203</v>
      </c>
      <c r="B885" s="38" t="s">
        <v>1608</v>
      </c>
      <c r="C885" s="39" t="s">
        <v>509</v>
      </c>
      <c r="D885" s="74" t="s">
        <v>1227</v>
      </c>
      <c r="E885" s="74" t="s">
        <v>1224</v>
      </c>
      <c r="F885" s="74" t="s">
        <v>1226</v>
      </c>
      <c r="G885" s="74" t="s">
        <v>1226</v>
      </c>
    </row>
    <row r="886" spans="1:7" x14ac:dyDescent="0.2">
      <c r="A886" s="39">
        <v>4204</v>
      </c>
      <c r="B886" s="38" t="s">
        <v>1609</v>
      </c>
      <c r="C886" s="39" t="s">
        <v>509</v>
      </c>
      <c r="D886" s="74" t="s">
        <v>1227</v>
      </c>
      <c r="E886" s="74" t="s">
        <v>1224</v>
      </c>
      <c r="F886" s="74" t="s">
        <v>1226</v>
      </c>
      <c r="G886" s="74" t="s">
        <v>1225</v>
      </c>
    </row>
    <row r="887" spans="1:7" x14ac:dyDescent="0.2">
      <c r="A887" s="39">
        <v>4209</v>
      </c>
      <c r="B887" s="38" t="s">
        <v>1610</v>
      </c>
      <c r="C887" s="39" t="s">
        <v>509</v>
      </c>
      <c r="D887" s="74" t="s">
        <v>1227</v>
      </c>
      <c r="E887" s="74" t="s">
        <v>1224</v>
      </c>
      <c r="F887" s="74" t="s">
        <v>1226</v>
      </c>
      <c r="G887" s="74" t="s">
        <v>1225</v>
      </c>
    </row>
    <row r="888" spans="1:7" x14ac:dyDescent="0.2">
      <c r="A888" s="39">
        <v>4210</v>
      </c>
      <c r="B888" s="38" t="s">
        <v>1611</v>
      </c>
      <c r="C888" s="39" t="s">
        <v>509</v>
      </c>
      <c r="D888" s="74" t="s">
        <v>1227</v>
      </c>
      <c r="E888" s="74" t="s">
        <v>1224</v>
      </c>
      <c r="F888" s="74" t="s">
        <v>1226</v>
      </c>
      <c r="G888" s="74" t="s">
        <v>1226</v>
      </c>
    </row>
    <row r="889" spans="1:7" x14ac:dyDescent="0.2">
      <c r="A889" s="39">
        <v>4211</v>
      </c>
      <c r="B889" s="38" t="s">
        <v>1612</v>
      </c>
      <c r="C889" s="39" t="s">
        <v>509</v>
      </c>
      <c r="D889" s="74" t="s">
        <v>1227</v>
      </c>
      <c r="E889" s="74" t="s">
        <v>1224</v>
      </c>
      <c r="F889" s="74" t="s">
        <v>1226</v>
      </c>
      <c r="G889" s="74" t="s">
        <v>1226</v>
      </c>
    </row>
    <row r="890" spans="1:7" x14ac:dyDescent="0.2">
      <c r="A890" s="39">
        <v>4212</v>
      </c>
      <c r="B890" s="38" t="s">
        <v>1613</v>
      </c>
      <c r="C890" s="39" t="s">
        <v>509</v>
      </c>
      <c r="D890" s="74" t="s">
        <v>1227</v>
      </c>
      <c r="E890" s="74" t="s">
        <v>1224</v>
      </c>
      <c r="F890" s="74" t="s">
        <v>1226</v>
      </c>
      <c r="G890" s="74" t="s">
        <v>1226</v>
      </c>
    </row>
    <row r="891" spans="1:7" x14ac:dyDescent="0.2">
      <c r="A891" s="39">
        <v>4221</v>
      </c>
      <c r="B891" s="38" t="s">
        <v>1614</v>
      </c>
      <c r="C891" s="39" t="s">
        <v>509</v>
      </c>
      <c r="D891" s="74" t="s">
        <v>1227</v>
      </c>
      <c r="E891" s="74" t="s">
        <v>1224</v>
      </c>
      <c r="F891" s="74" t="s">
        <v>1226</v>
      </c>
      <c r="G891" s="74" t="s">
        <v>1226</v>
      </c>
    </row>
    <row r="892" spans="1:7" x14ac:dyDescent="0.2">
      <c r="A892" s="39">
        <v>4222</v>
      </c>
      <c r="B892" s="38" t="s">
        <v>1615</v>
      </c>
      <c r="C892" s="39" t="s">
        <v>509</v>
      </c>
      <c r="D892" s="74" t="s">
        <v>1227</v>
      </c>
      <c r="E892" s="74" t="s">
        <v>1224</v>
      </c>
      <c r="F892" s="74" t="s">
        <v>1226</v>
      </c>
      <c r="G892" s="74" t="s">
        <v>1226</v>
      </c>
    </row>
    <row r="893" spans="1:7" x14ac:dyDescent="0.2">
      <c r="A893" s="39">
        <v>4223</v>
      </c>
      <c r="B893" s="38" t="s">
        <v>1616</v>
      </c>
      <c r="C893" s="39" t="s">
        <v>509</v>
      </c>
      <c r="D893" s="74" t="s">
        <v>1227</v>
      </c>
      <c r="E893" s="74" t="s">
        <v>1224</v>
      </c>
      <c r="F893" s="74" t="s">
        <v>1226</v>
      </c>
      <c r="G893" s="74" t="s">
        <v>1226</v>
      </c>
    </row>
    <row r="894" spans="1:7" x14ac:dyDescent="0.2">
      <c r="A894" s="39">
        <v>4224</v>
      </c>
      <c r="B894" s="38" t="s">
        <v>1617</v>
      </c>
      <c r="C894" s="39" t="s">
        <v>509</v>
      </c>
      <c r="D894" s="74" t="s">
        <v>1227</v>
      </c>
      <c r="E894" s="74" t="s">
        <v>1224</v>
      </c>
      <c r="F894" s="74" t="s">
        <v>1226</v>
      </c>
      <c r="G894" s="74" t="s">
        <v>1226</v>
      </c>
    </row>
    <row r="895" spans="1:7" x14ac:dyDescent="0.2">
      <c r="A895" s="39">
        <v>4230</v>
      </c>
      <c r="B895" s="38" t="s">
        <v>1618</v>
      </c>
      <c r="C895" s="39" t="s">
        <v>509</v>
      </c>
      <c r="D895" s="74" t="s">
        <v>1227</v>
      </c>
      <c r="E895" s="74" t="s">
        <v>1224</v>
      </c>
      <c r="F895" s="74" t="s">
        <v>1226</v>
      </c>
      <c r="G895" s="74" t="s">
        <v>1226</v>
      </c>
    </row>
    <row r="896" spans="1:7" x14ac:dyDescent="0.2">
      <c r="A896" s="39">
        <v>4231</v>
      </c>
      <c r="B896" s="38" t="s">
        <v>1619</v>
      </c>
      <c r="C896" s="39" t="s">
        <v>509</v>
      </c>
      <c r="D896" s="74" t="s">
        <v>1227</v>
      </c>
      <c r="E896" s="74" t="s">
        <v>1224</v>
      </c>
      <c r="F896" s="74" t="s">
        <v>1226</v>
      </c>
      <c r="G896" s="74" t="s">
        <v>1225</v>
      </c>
    </row>
    <row r="897" spans="1:7" x14ac:dyDescent="0.2">
      <c r="A897" s="39">
        <v>4232</v>
      </c>
      <c r="B897" s="38" t="s">
        <v>1620</v>
      </c>
      <c r="C897" s="39" t="s">
        <v>509</v>
      </c>
      <c r="D897" s="74" t="s">
        <v>1227</v>
      </c>
      <c r="E897" s="74" t="s">
        <v>1224</v>
      </c>
      <c r="F897" s="74" t="s">
        <v>1226</v>
      </c>
      <c r="G897" s="74" t="s">
        <v>1226</v>
      </c>
    </row>
    <row r="898" spans="1:7" x14ac:dyDescent="0.2">
      <c r="A898" s="39">
        <v>4240</v>
      </c>
      <c r="B898" s="38" t="s">
        <v>1621</v>
      </c>
      <c r="C898" s="39" t="s">
        <v>509</v>
      </c>
      <c r="D898" s="74" t="s">
        <v>1227</v>
      </c>
      <c r="E898" s="74" t="s">
        <v>1224</v>
      </c>
      <c r="F898" s="74" t="s">
        <v>1226</v>
      </c>
      <c r="G898" s="74" t="s">
        <v>1226</v>
      </c>
    </row>
    <row r="899" spans="1:7" x14ac:dyDescent="0.2">
      <c r="A899" s="39">
        <v>4242</v>
      </c>
      <c r="B899" s="38" t="s">
        <v>1622</v>
      </c>
      <c r="C899" s="39" t="s">
        <v>509</v>
      </c>
      <c r="D899" s="74" t="s">
        <v>1227</v>
      </c>
      <c r="E899" s="74" t="s">
        <v>1224</v>
      </c>
      <c r="F899" s="74" t="s">
        <v>1226</v>
      </c>
      <c r="G899" s="74" t="s">
        <v>1226</v>
      </c>
    </row>
    <row r="900" spans="1:7" x14ac:dyDescent="0.2">
      <c r="A900" s="39">
        <v>4251</v>
      </c>
      <c r="B900" s="38" t="s">
        <v>1623</v>
      </c>
      <c r="C900" s="39" t="s">
        <v>509</v>
      </c>
      <c r="D900" s="74" t="s">
        <v>1227</v>
      </c>
      <c r="E900" s="74" t="s">
        <v>1224</v>
      </c>
      <c r="F900" s="74" t="s">
        <v>1226</v>
      </c>
      <c r="G900" s="74" t="s">
        <v>1226</v>
      </c>
    </row>
    <row r="901" spans="1:7" x14ac:dyDescent="0.2">
      <c r="A901" s="39">
        <v>4252</v>
      </c>
      <c r="B901" s="38" t="s">
        <v>1624</v>
      </c>
      <c r="C901" s="39" t="s">
        <v>509</v>
      </c>
      <c r="D901" s="74" t="s">
        <v>1227</v>
      </c>
      <c r="E901" s="74" t="s">
        <v>1224</v>
      </c>
      <c r="F901" s="74" t="s">
        <v>1226</v>
      </c>
      <c r="G901" s="74" t="s">
        <v>1225</v>
      </c>
    </row>
    <row r="902" spans="1:7" x14ac:dyDescent="0.2">
      <c r="A902" s="39">
        <v>4261</v>
      </c>
      <c r="B902" s="38" t="s">
        <v>1625</v>
      </c>
      <c r="C902" s="39" t="s">
        <v>509</v>
      </c>
      <c r="D902" s="74" t="s">
        <v>1227</v>
      </c>
      <c r="E902" s="74" t="s">
        <v>1224</v>
      </c>
      <c r="F902" s="74" t="s">
        <v>1226</v>
      </c>
      <c r="G902" s="74" t="s">
        <v>1226</v>
      </c>
    </row>
    <row r="903" spans="1:7" x14ac:dyDescent="0.2">
      <c r="A903" s="39">
        <v>4262</v>
      </c>
      <c r="B903" s="38" t="s">
        <v>1626</v>
      </c>
      <c r="C903" s="39" t="s">
        <v>509</v>
      </c>
      <c r="D903" s="74" t="s">
        <v>1227</v>
      </c>
      <c r="E903" s="74" t="s">
        <v>1224</v>
      </c>
      <c r="F903" s="74" t="s">
        <v>1226</v>
      </c>
      <c r="G903" s="74" t="s">
        <v>1225</v>
      </c>
    </row>
    <row r="904" spans="1:7" x14ac:dyDescent="0.2">
      <c r="A904" s="39">
        <v>4263</v>
      </c>
      <c r="B904" s="38" t="s">
        <v>1627</v>
      </c>
      <c r="C904" s="39" t="s">
        <v>509</v>
      </c>
      <c r="D904" s="74" t="s">
        <v>1227</v>
      </c>
      <c r="E904" s="74" t="s">
        <v>1224</v>
      </c>
      <c r="F904" s="74" t="s">
        <v>1226</v>
      </c>
      <c r="G904" s="74" t="s">
        <v>1226</v>
      </c>
    </row>
    <row r="905" spans="1:7" x14ac:dyDescent="0.2">
      <c r="A905" s="39">
        <v>4264</v>
      </c>
      <c r="B905" s="38" t="s">
        <v>1628</v>
      </c>
      <c r="C905" s="39" t="s">
        <v>509</v>
      </c>
      <c r="D905" s="74" t="s">
        <v>1227</v>
      </c>
      <c r="E905" s="74" t="s">
        <v>1224</v>
      </c>
      <c r="F905" s="74" t="s">
        <v>1226</v>
      </c>
      <c r="G905" s="74" t="s">
        <v>1225</v>
      </c>
    </row>
    <row r="906" spans="1:7" x14ac:dyDescent="0.2">
      <c r="A906" s="39">
        <v>4271</v>
      </c>
      <c r="B906" s="38" t="s">
        <v>1629</v>
      </c>
      <c r="C906" s="39" t="s">
        <v>509</v>
      </c>
      <c r="D906" s="74" t="s">
        <v>1227</v>
      </c>
      <c r="E906" s="74" t="s">
        <v>1224</v>
      </c>
      <c r="F906" s="74" t="s">
        <v>1226</v>
      </c>
      <c r="G906" s="74" t="s">
        <v>1225</v>
      </c>
    </row>
    <row r="907" spans="1:7" x14ac:dyDescent="0.2">
      <c r="A907" s="39">
        <v>4272</v>
      </c>
      <c r="B907" s="38" t="s">
        <v>1630</v>
      </c>
      <c r="C907" s="39" t="s">
        <v>509</v>
      </c>
      <c r="D907" s="74" t="s">
        <v>1227</v>
      </c>
      <c r="E907" s="74" t="s">
        <v>1224</v>
      </c>
      <c r="F907" s="74" t="s">
        <v>1226</v>
      </c>
      <c r="G907" s="74" t="s">
        <v>1225</v>
      </c>
    </row>
    <row r="908" spans="1:7" x14ac:dyDescent="0.2">
      <c r="A908" s="39">
        <v>4273</v>
      </c>
      <c r="B908" s="38" t="s">
        <v>1631</v>
      </c>
      <c r="C908" s="39" t="s">
        <v>509</v>
      </c>
      <c r="D908" s="74" t="s">
        <v>1227</v>
      </c>
      <c r="E908" s="74" t="s">
        <v>1224</v>
      </c>
      <c r="F908" s="74" t="s">
        <v>1226</v>
      </c>
      <c r="G908" s="74" t="s">
        <v>1226</v>
      </c>
    </row>
    <row r="909" spans="1:7" x14ac:dyDescent="0.2">
      <c r="A909" s="39">
        <v>4274</v>
      </c>
      <c r="B909" s="38" t="s">
        <v>1632</v>
      </c>
      <c r="C909" s="39" t="s">
        <v>509</v>
      </c>
      <c r="D909" s="74" t="s">
        <v>1227</v>
      </c>
      <c r="E909" s="74" t="s">
        <v>1224</v>
      </c>
      <c r="F909" s="74" t="s">
        <v>1226</v>
      </c>
      <c r="G909" s="74" t="s">
        <v>1225</v>
      </c>
    </row>
    <row r="910" spans="1:7" x14ac:dyDescent="0.2">
      <c r="A910" s="39">
        <v>4280</v>
      </c>
      <c r="B910" s="38" t="s">
        <v>1633</v>
      </c>
      <c r="C910" s="39" t="s">
        <v>509</v>
      </c>
      <c r="D910" s="74" t="s">
        <v>1227</v>
      </c>
      <c r="E910" s="74" t="s">
        <v>1224</v>
      </c>
      <c r="F910" s="74" t="s">
        <v>1226</v>
      </c>
      <c r="G910" s="74" t="s">
        <v>1226</v>
      </c>
    </row>
    <row r="911" spans="1:7" x14ac:dyDescent="0.2">
      <c r="A911" s="39">
        <v>4281</v>
      </c>
      <c r="B911" s="38" t="s">
        <v>1634</v>
      </c>
      <c r="C911" s="39" t="s">
        <v>509</v>
      </c>
      <c r="D911" s="74" t="s">
        <v>1227</v>
      </c>
      <c r="E911" s="74" t="s">
        <v>1224</v>
      </c>
      <c r="F911" s="74" t="s">
        <v>1226</v>
      </c>
      <c r="G911" s="74" t="s">
        <v>1225</v>
      </c>
    </row>
    <row r="912" spans="1:7" x14ac:dyDescent="0.2">
      <c r="A912" s="39">
        <v>4282</v>
      </c>
      <c r="B912" s="38" t="s">
        <v>1635</v>
      </c>
      <c r="C912" s="39" t="s">
        <v>509</v>
      </c>
      <c r="D912" s="74" t="s">
        <v>1227</v>
      </c>
      <c r="E912" s="74" t="s">
        <v>1224</v>
      </c>
      <c r="F912" s="74" t="s">
        <v>1226</v>
      </c>
      <c r="G912" s="74" t="s">
        <v>1225</v>
      </c>
    </row>
    <row r="913" spans="1:7" x14ac:dyDescent="0.2">
      <c r="A913" s="39">
        <v>4283</v>
      </c>
      <c r="B913" s="38" t="s">
        <v>1636</v>
      </c>
      <c r="C913" s="39" t="s">
        <v>509</v>
      </c>
      <c r="D913" s="74" t="s">
        <v>1227</v>
      </c>
      <c r="E913" s="74" t="s">
        <v>1224</v>
      </c>
      <c r="F913" s="74" t="s">
        <v>1226</v>
      </c>
      <c r="G913" s="74" t="s">
        <v>1226</v>
      </c>
    </row>
    <row r="914" spans="1:7" x14ac:dyDescent="0.2">
      <c r="A914" s="39">
        <v>4284</v>
      </c>
      <c r="B914" s="38" t="s">
        <v>1637</v>
      </c>
      <c r="C914" s="39" t="s">
        <v>509</v>
      </c>
      <c r="D914" s="74" t="s">
        <v>1227</v>
      </c>
      <c r="E914" s="74" t="s">
        <v>1224</v>
      </c>
      <c r="F914" s="74" t="s">
        <v>1226</v>
      </c>
      <c r="G914" s="74" t="s">
        <v>1225</v>
      </c>
    </row>
    <row r="915" spans="1:7" x14ac:dyDescent="0.2">
      <c r="A915" s="39">
        <v>4291</v>
      </c>
      <c r="B915" s="38" t="s">
        <v>1638</v>
      </c>
      <c r="C915" s="39" t="s">
        <v>509</v>
      </c>
      <c r="D915" s="74" t="s">
        <v>1227</v>
      </c>
      <c r="E915" s="74" t="s">
        <v>1224</v>
      </c>
      <c r="F915" s="74" t="s">
        <v>1226</v>
      </c>
      <c r="G915" s="74" t="s">
        <v>1226</v>
      </c>
    </row>
    <row r="916" spans="1:7" x14ac:dyDescent="0.2">
      <c r="A916" s="39">
        <v>4292</v>
      </c>
      <c r="B916" s="38" t="s">
        <v>1639</v>
      </c>
      <c r="C916" s="39" t="s">
        <v>509</v>
      </c>
      <c r="D916" s="74" t="s">
        <v>1227</v>
      </c>
      <c r="E916" s="74" t="s">
        <v>1224</v>
      </c>
      <c r="F916" s="74" t="s">
        <v>1226</v>
      </c>
      <c r="G916" s="74" t="s">
        <v>1225</v>
      </c>
    </row>
    <row r="917" spans="1:7" x14ac:dyDescent="0.2">
      <c r="A917" s="39">
        <v>4293</v>
      </c>
      <c r="B917" s="38" t="s">
        <v>1640</v>
      </c>
      <c r="C917" s="39" t="s">
        <v>509</v>
      </c>
      <c r="D917" s="74" t="s">
        <v>1227</v>
      </c>
      <c r="E917" s="74" t="s">
        <v>1224</v>
      </c>
      <c r="F917" s="74" t="s">
        <v>1226</v>
      </c>
      <c r="G917" s="74" t="s">
        <v>1226</v>
      </c>
    </row>
    <row r="918" spans="1:7" x14ac:dyDescent="0.2">
      <c r="A918" s="39">
        <v>4294</v>
      </c>
      <c r="B918" s="38" t="s">
        <v>1641</v>
      </c>
      <c r="C918" s="39" t="s">
        <v>509</v>
      </c>
      <c r="D918" s="74" t="s">
        <v>1227</v>
      </c>
      <c r="E918" s="74" t="s">
        <v>1224</v>
      </c>
      <c r="F918" s="74" t="s">
        <v>1226</v>
      </c>
      <c r="G918" s="74" t="s">
        <v>1225</v>
      </c>
    </row>
    <row r="919" spans="1:7" x14ac:dyDescent="0.2">
      <c r="A919" s="39">
        <v>4300</v>
      </c>
      <c r="B919" s="38" t="s">
        <v>1642</v>
      </c>
      <c r="C919" s="39" t="s">
        <v>1239</v>
      </c>
      <c r="D919" s="74" t="s">
        <v>1227</v>
      </c>
      <c r="E919" s="74" t="s">
        <v>1224</v>
      </c>
      <c r="F919" s="74" t="s">
        <v>1226</v>
      </c>
      <c r="G919" s="74" t="s">
        <v>1226</v>
      </c>
    </row>
    <row r="920" spans="1:7" x14ac:dyDescent="0.2">
      <c r="A920" s="39">
        <v>4303</v>
      </c>
      <c r="B920" s="38" t="s">
        <v>1643</v>
      </c>
      <c r="C920" s="39" t="s">
        <v>1239</v>
      </c>
      <c r="D920" s="74" t="s">
        <v>1227</v>
      </c>
      <c r="E920" s="74" t="s">
        <v>1224</v>
      </c>
      <c r="F920" s="74" t="s">
        <v>1226</v>
      </c>
      <c r="G920" s="74" t="s">
        <v>1225</v>
      </c>
    </row>
    <row r="921" spans="1:7" x14ac:dyDescent="0.2">
      <c r="A921" s="39">
        <v>4310</v>
      </c>
      <c r="B921" s="38" t="s">
        <v>1644</v>
      </c>
      <c r="C921" s="39" t="s">
        <v>509</v>
      </c>
      <c r="D921" s="74" t="s">
        <v>1227</v>
      </c>
      <c r="E921" s="74" t="s">
        <v>1224</v>
      </c>
      <c r="F921" s="74" t="s">
        <v>1226</v>
      </c>
      <c r="G921" s="74" t="s">
        <v>1226</v>
      </c>
    </row>
    <row r="922" spans="1:7" x14ac:dyDescent="0.2">
      <c r="A922" s="39">
        <v>4311</v>
      </c>
      <c r="B922" s="38" t="s">
        <v>1645</v>
      </c>
      <c r="C922" s="39" t="s">
        <v>509</v>
      </c>
      <c r="D922" s="74" t="s">
        <v>1227</v>
      </c>
      <c r="E922" s="74" t="s">
        <v>1224</v>
      </c>
      <c r="F922" s="74" t="s">
        <v>1226</v>
      </c>
      <c r="G922" s="74" t="s">
        <v>1226</v>
      </c>
    </row>
    <row r="923" spans="1:7" x14ac:dyDescent="0.2">
      <c r="A923" s="39">
        <v>4312</v>
      </c>
      <c r="B923" s="38" t="s">
        <v>1646</v>
      </c>
      <c r="C923" s="39" t="s">
        <v>509</v>
      </c>
      <c r="D923" s="74" t="s">
        <v>1227</v>
      </c>
      <c r="E923" s="74" t="s">
        <v>1224</v>
      </c>
      <c r="F923" s="74" t="s">
        <v>1226</v>
      </c>
      <c r="G923" s="74" t="s">
        <v>1226</v>
      </c>
    </row>
    <row r="924" spans="1:7" x14ac:dyDescent="0.2">
      <c r="A924" s="39">
        <v>4320</v>
      </c>
      <c r="B924" s="38" t="s">
        <v>1647</v>
      </c>
      <c r="C924" s="39" t="s">
        <v>509</v>
      </c>
      <c r="D924" s="74" t="s">
        <v>1227</v>
      </c>
      <c r="E924" s="74" t="s">
        <v>1224</v>
      </c>
      <c r="F924" s="74" t="s">
        <v>1226</v>
      </c>
      <c r="G924" s="74" t="s">
        <v>1226</v>
      </c>
    </row>
    <row r="925" spans="1:7" x14ac:dyDescent="0.2">
      <c r="A925" s="39">
        <v>4322</v>
      </c>
      <c r="B925" s="38" t="s">
        <v>1648</v>
      </c>
      <c r="C925" s="39" t="s">
        <v>509</v>
      </c>
      <c r="D925" s="74" t="s">
        <v>1227</v>
      </c>
      <c r="E925" s="74" t="s">
        <v>1224</v>
      </c>
      <c r="F925" s="74" t="s">
        <v>1226</v>
      </c>
      <c r="G925" s="74" t="s">
        <v>1225</v>
      </c>
    </row>
    <row r="926" spans="1:7" x14ac:dyDescent="0.2">
      <c r="A926" s="39">
        <v>4323</v>
      </c>
      <c r="B926" s="38" t="s">
        <v>1649</v>
      </c>
      <c r="C926" s="39" t="s">
        <v>509</v>
      </c>
      <c r="D926" s="74" t="s">
        <v>1227</v>
      </c>
      <c r="E926" s="74" t="s">
        <v>1224</v>
      </c>
      <c r="F926" s="74" t="s">
        <v>1226</v>
      </c>
      <c r="G926" s="74" t="s">
        <v>1225</v>
      </c>
    </row>
    <row r="927" spans="1:7" x14ac:dyDescent="0.2">
      <c r="A927" s="39">
        <v>4324</v>
      </c>
      <c r="B927" s="38" t="s">
        <v>1650</v>
      </c>
      <c r="C927" s="39" t="s">
        <v>509</v>
      </c>
      <c r="D927" s="74" t="s">
        <v>1227</v>
      </c>
      <c r="E927" s="74" t="s">
        <v>1224</v>
      </c>
      <c r="F927" s="74" t="s">
        <v>1226</v>
      </c>
      <c r="G927" s="74" t="s">
        <v>1225</v>
      </c>
    </row>
    <row r="928" spans="1:7" x14ac:dyDescent="0.2">
      <c r="A928" s="39">
        <v>4331</v>
      </c>
      <c r="B928" s="38" t="s">
        <v>1651</v>
      </c>
      <c r="C928" s="39" t="s">
        <v>509</v>
      </c>
      <c r="D928" s="74" t="s">
        <v>1227</v>
      </c>
      <c r="E928" s="74" t="s">
        <v>1224</v>
      </c>
      <c r="F928" s="74" t="s">
        <v>1226</v>
      </c>
      <c r="G928" s="74" t="s">
        <v>1226</v>
      </c>
    </row>
    <row r="929" spans="1:7" x14ac:dyDescent="0.2">
      <c r="A929" s="39">
        <v>4332</v>
      </c>
      <c r="B929" s="38" t="s">
        <v>1652</v>
      </c>
      <c r="C929" s="39" t="s">
        <v>509</v>
      </c>
      <c r="D929" s="74" t="s">
        <v>1227</v>
      </c>
      <c r="E929" s="74" t="s">
        <v>1224</v>
      </c>
      <c r="F929" s="74" t="s">
        <v>1226</v>
      </c>
      <c r="G929" s="74" t="s">
        <v>1225</v>
      </c>
    </row>
    <row r="930" spans="1:7" x14ac:dyDescent="0.2">
      <c r="A930" s="39">
        <v>4341</v>
      </c>
      <c r="B930" s="38" t="s">
        <v>1653</v>
      </c>
      <c r="C930" s="39" t="s">
        <v>509</v>
      </c>
      <c r="D930" s="74" t="s">
        <v>1227</v>
      </c>
      <c r="E930" s="74" t="s">
        <v>1224</v>
      </c>
      <c r="F930" s="74" t="s">
        <v>1226</v>
      </c>
      <c r="G930" s="74" t="s">
        <v>1225</v>
      </c>
    </row>
    <row r="931" spans="1:7" x14ac:dyDescent="0.2">
      <c r="A931" s="39">
        <v>4342</v>
      </c>
      <c r="B931" s="38" t="s">
        <v>1654</v>
      </c>
      <c r="C931" s="39" t="s">
        <v>509</v>
      </c>
      <c r="D931" s="74" t="s">
        <v>1227</v>
      </c>
      <c r="E931" s="74" t="s">
        <v>1224</v>
      </c>
      <c r="F931" s="74" t="s">
        <v>1226</v>
      </c>
      <c r="G931" s="74" t="s">
        <v>1225</v>
      </c>
    </row>
    <row r="932" spans="1:7" x14ac:dyDescent="0.2">
      <c r="A932" s="39">
        <v>4343</v>
      </c>
      <c r="B932" s="38" t="s">
        <v>1655</v>
      </c>
      <c r="C932" s="39" t="s">
        <v>509</v>
      </c>
      <c r="D932" s="74" t="s">
        <v>1227</v>
      </c>
      <c r="E932" s="74" t="s">
        <v>1224</v>
      </c>
      <c r="F932" s="74" t="s">
        <v>1226</v>
      </c>
      <c r="G932" s="74" t="s">
        <v>1226</v>
      </c>
    </row>
    <row r="933" spans="1:7" x14ac:dyDescent="0.2">
      <c r="A933" s="39">
        <v>4351</v>
      </c>
      <c r="B933" s="38" t="s">
        <v>1656</v>
      </c>
      <c r="C933" s="39" t="s">
        <v>509</v>
      </c>
      <c r="D933" s="74" t="s">
        <v>1227</v>
      </c>
      <c r="E933" s="74" t="s">
        <v>1224</v>
      </c>
      <c r="F933" s="74" t="s">
        <v>1226</v>
      </c>
      <c r="G933" s="74" t="s">
        <v>1225</v>
      </c>
    </row>
    <row r="934" spans="1:7" x14ac:dyDescent="0.2">
      <c r="A934" s="39">
        <v>4352</v>
      </c>
      <c r="B934" s="38" t="s">
        <v>1657</v>
      </c>
      <c r="C934" s="39" t="s">
        <v>509</v>
      </c>
      <c r="D934" s="74" t="s">
        <v>1227</v>
      </c>
      <c r="E934" s="74" t="s">
        <v>1224</v>
      </c>
      <c r="F934" s="74" t="s">
        <v>1226</v>
      </c>
      <c r="G934" s="74" t="s">
        <v>1225</v>
      </c>
    </row>
    <row r="935" spans="1:7" x14ac:dyDescent="0.2">
      <c r="A935" s="39">
        <v>4360</v>
      </c>
      <c r="B935" s="38" t="s">
        <v>1658</v>
      </c>
      <c r="C935" s="39" t="s">
        <v>509</v>
      </c>
      <c r="D935" s="74" t="s">
        <v>1227</v>
      </c>
      <c r="E935" s="74" t="s">
        <v>1224</v>
      </c>
      <c r="F935" s="74" t="s">
        <v>1226</v>
      </c>
      <c r="G935" s="74" t="s">
        <v>1226</v>
      </c>
    </row>
    <row r="936" spans="1:7" x14ac:dyDescent="0.2">
      <c r="A936" s="39">
        <v>4362</v>
      </c>
      <c r="B936" s="38" t="s">
        <v>1659</v>
      </c>
      <c r="C936" s="39" t="s">
        <v>509</v>
      </c>
      <c r="D936" s="74" t="s">
        <v>1227</v>
      </c>
      <c r="E936" s="74" t="s">
        <v>1224</v>
      </c>
      <c r="F936" s="74" t="s">
        <v>1226</v>
      </c>
      <c r="G936" s="74" t="s">
        <v>1226</v>
      </c>
    </row>
    <row r="937" spans="1:7" x14ac:dyDescent="0.2">
      <c r="A937" s="39">
        <v>4363</v>
      </c>
      <c r="B937" s="38" t="s">
        <v>1660</v>
      </c>
      <c r="C937" s="39" t="s">
        <v>509</v>
      </c>
      <c r="D937" s="74" t="s">
        <v>1227</v>
      </c>
      <c r="E937" s="74" t="s">
        <v>1224</v>
      </c>
      <c r="F937" s="74" t="s">
        <v>1226</v>
      </c>
      <c r="G937" s="74" t="s">
        <v>1226</v>
      </c>
    </row>
    <row r="938" spans="1:7" x14ac:dyDescent="0.2">
      <c r="A938" s="39">
        <v>4364</v>
      </c>
      <c r="B938" s="38" t="s">
        <v>1661</v>
      </c>
      <c r="C938" s="39" t="s">
        <v>509</v>
      </c>
      <c r="D938" s="74" t="s">
        <v>1227</v>
      </c>
      <c r="E938" s="74" t="s">
        <v>1224</v>
      </c>
      <c r="F938" s="74" t="s">
        <v>1226</v>
      </c>
      <c r="G938" s="74" t="s">
        <v>1225</v>
      </c>
    </row>
    <row r="939" spans="1:7" x14ac:dyDescent="0.2">
      <c r="A939" s="39">
        <v>4371</v>
      </c>
      <c r="B939" s="38" t="s">
        <v>1662</v>
      </c>
      <c r="C939" s="39" t="s">
        <v>509</v>
      </c>
      <c r="D939" s="74" t="s">
        <v>1227</v>
      </c>
      <c r="E939" s="74" t="s">
        <v>1224</v>
      </c>
      <c r="F939" s="74" t="s">
        <v>1226</v>
      </c>
      <c r="G939" s="74" t="s">
        <v>1225</v>
      </c>
    </row>
    <row r="940" spans="1:7" x14ac:dyDescent="0.2">
      <c r="A940" s="39">
        <v>4372</v>
      </c>
      <c r="B940" s="38" t="s">
        <v>1663</v>
      </c>
      <c r="C940" s="39" t="s">
        <v>509</v>
      </c>
      <c r="D940" s="74" t="s">
        <v>1227</v>
      </c>
      <c r="E940" s="74" t="s">
        <v>1224</v>
      </c>
      <c r="F940" s="74" t="s">
        <v>1226</v>
      </c>
      <c r="G940" s="74" t="s">
        <v>1226</v>
      </c>
    </row>
    <row r="941" spans="1:7" x14ac:dyDescent="0.2">
      <c r="A941" s="39">
        <v>4381</v>
      </c>
      <c r="B941" s="38" t="s">
        <v>1664</v>
      </c>
      <c r="C941" s="39" t="s">
        <v>509</v>
      </c>
      <c r="D941" s="74" t="s">
        <v>1227</v>
      </c>
      <c r="E941" s="74" t="s">
        <v>1224</v>
      </c>
      <c r="F941" s="74" t="s">
        <v>1226</v>
      </c>
      <c r="G941" s="74" t="s">
        <v>1225</v>
      </c>
    </row>
    <row r="942" spans="1:7" x14ac:dyDescent="0.2">
      <c r="A942" s="39">
        <v>4382</v>
      </c>
      <c r="B942" s="38" t="s">
        <v>1665</v>
      </c>
      <c r="C942" s="39" t="s">
        <v>509</v>
      </c>
      <c r="D942" s="74" t="s">
        <v>1227</v>
      </c>
      <c r="E942" s="74" t="s">
        <v>1224</v>
      </c>
      <c r="F942" s="74" t="s">
        <v>1226</v>
      </c>
      <c r="G942" s="74" t="s">
        <v>1225</v>
      </c>
    </row>
    <row r="943" spans="1:7" x14ac:dyDescent="0.2">
      <c r="A943" s="39">
        <v>4391</v>
      </c>
      <c r="B943" s="38" t="s">
        <v>1666</v>
      </c>
      <c r="C943" s="39" t="s">
        <v>509</v>
      </c>
      <c r="D943" s="74" t="s">
        <v>1227</v>
      </c>
      <c r="E943" s="74" t="s">
        <v>1224</v>
      </c>
      <c r="F943" s="74" t="s">
        <v>1226</v>
      </c>
      <c r="G943" s="74" t="s">
        <v>1226</v>
      </c>
    </row>
    <row r="944" spans="1:7" x14ac:dyDescent="0.2">
      <c r="A944" s="39">
        <v>4392</v>
      </c>
      <c r="B944" s="38" t="s">
        <v>1667</v>
      </c>
      <c r="C944" s="39" t="s">
        <v>1239</v>
      </c>
      <c r="D944" s="74" t="s">
        <v>1227</v>
      </c>
      <c r="E944" s="74" t="s">
        <v>1224</v>
      </c>
      <c r="F944" s="74" t="s">
        <v>1226</v>
      </c>
      <c r="G944" s="74" t="s">
        <v>1225</v>
      </c>
    </row>
    <row r="945" spans="1:7" x14ac:dyDescent="0.2">
      <c r="A945" s="39">
        <v>4400</v>
      </c>
      <c r="B945" s="38" t="s">
        <v>1668</v>
      </c>
      <c r="C945" s="39" t="s">
        <v>509</v>
      </c>
      <c r="D945" s="74" t="s">
        <v>1227</v>
      </c>
      <c r="E945" s="74" t="s">
        <v>1224</v>
      </c>
      <c r="F945" s="74" t="s">
        <v>1226</v>
      </c>
      <c r="G945" s="74" t="s">
        <v>1226</v>
      </c>
    </row>
    <row r="946" spans="1:7" x14ac:dyDescent="0.2">
      <c r="A946" s="39">
        <v>4401</v>
      </c>
      <c r="B946" s="38" t="s">
        <v>1669</v>
      </c>
      <c r="C946" s="39" t="s">
        <v>509</v>
      </c>
      <c r="D946" s="74" t="s">
        <v>1229</v>
      </c>
      <c r="E946" s="74" t="s">
        <v>1224</v>
      </c>
      <c r="F946" s="74" t="s">
        <v>1225</v>
      </c>
      <c r="G946" s="74" t="s">
        <v>1226</v>
      </c>
    </row>
    <row r="947" spans="1:7" x14ac:dyDescent="0.2">
      <c r="A947" s="39">
        <v>4402</v>
      </c>
      <c r="B947" s="38" t="s">
        <v>1668</v>
      </c>
      <c r="C947" s="39" t="s">
        <v>509</v>
      </c>
      <c r="D947" s="74" t="s">
        <v>1229</v>
      </c>
      <c r="E947" s="74" t="s">
        <v>1224</v>
      </c>
      <c r="F947" s="74" t="s">
        <v>1225</v>
      </c>
      <c r="G947" s="74" t="s">
        <v>1226</v>
      </c>
    </row>
    <row r="948" spans="1:7" x14ac:dyDescent="0.2">
      <c r="A948" s="39">
        <v>4403</v>
      </c>
      <c r="B948" s="38" t="s">
        <v>1668</v>
      </c>
      <c r="C948" s="39" t="s">
        <v>509</v>
      </c>
      <c r="D948" s="74" t="s">
        <v>1229</v>
      </c>
      <c r="E948" s="74" t="s">
        <v>1224</v>
      </c>
      <c r="F948" s="74" t="s">
        <v>1225</v>
      </c>
      <c r="G948" s="74" t="s">
        <v>1226</v>
      </c>
    </row>
    <row r="949" spans="1:7" x14ac:dyDescent="0.2">
      <c r="A949" s="39">
        <v>4405</v>
      </c>
      <c r="B949" s="38" t="s">
        <v>1670</v>
      </c>
      <c r="C949" s="39" t="s">
        <v>509</v>
      </c>
      <c r="D949" s="74" t="s">
        <v>1229</v>
      </c>
      <c r="E949" s="74" t="s">
        <v>1224</v>
      </c>
      <c r="F949" s="74" t="s">
        <v>1225</v>
      </c>
      <c r="G949" s="74" t="s">
        <v>1226</v>
      </c>
    </row>
    <row r="950" spans="1:7" x14ac:dyDescent="0.2">
      <c r="A950" s="39">
        <v>4406</v>
      </c>
      <c r="B950" s="38" t="s">
        <v>1668</v>
      </c>
      <c r="C950" s="39" t="s">
        <v>509</v>
      </c>
      <c r="D950" s="74" t="s">
        <v>1229</v>
      </c>
      <c r="E950" s="74" t="s">
        <v>1224</v>
      </c>
      <c r="F950" s="74" t="s">
        <v>1225</v>
      </c>
      <c r="G950" s="74" t="s">
        <v>1226</v>
      </c>
    </row>
    <row r="951" spans="1:7" x14ac:dyDescent="0.2">
      <c r="A951" s="39">
        <v>4407</v>
      </c>
      <c r="B951" s="38" t="s">
        <v>1671</v>
      </c>
      <c r="C951" s="39" t="s">
        <v>509</v>
      </c>
      <c r="D951" s="74" t="s">
        <v>1227</v>
      </c>
      <c r="E951" s="74" t="s">
        <v>1224</v>
      </c>
      <c r="F951" s="74" t="s">
        <v>1226</v>
      </c>
      <c r="G951" s="74" t="s">
        <v>1226</v>
      </c>
    </row>
    <row r="952" spans="1:7" x14ac:dyDescent="0.2">
      <c r="A952" s="39">
        <v>4411</v>
      </c>
      <c r="B952" s="38" t="s">
        <v>1672</v>
      </c>
      <c r="C952" s="39" t="s">
        <v>509</v>
      </c>
      <c r="D952" s="74" t="s">
        <v>1229</v>
      </c>
      <c r="E952" s="74" t="s">
        <v>1224</v>
      </c>
      <c r="F952" s="74" t="s">
        <v>1225</v>
      </c>
      <c r="G952" s="74" t="s">
        <v>1226</v>
      </c>
    </row>
    <row r="953" spans="1:7" x14ac:dyDescent="0.2">
      <c r="A953" s="39">
        <v>4421</v>
      </c>
      <c r="B953" s="38" t="s">
        <v>1673</v>
      </c>
      <c r="C953" s="39" t="s">
        <v>509</v>
      </c>
      <c r="D953" s="74" t="s">
        <v>1227</v>
      </c>
      <c r="E953" s="74" t="s">
        <v>1224</v>
      </c>
      <c r="F953" s="74" t="s">
        <v>1226</v>
      </c>
      <c r="G953" s="74" t="s">
        <v>1225</v>
      </c>
    </row>
    <row r="954" spans="1:7" x14ac:dyDescent="0.2">
      <c r="A954" s="39">
        <v>4431</v>
      </c>
      <c r="B954" s="38" t="s">
        <v>1674</v>
      </c>
      <c r="C954" s="39" t="s">
        <v>1239</v>
      </c>
      <c r="D954" s="74" t="s">
        <v>1227</v>
      </c>
      <c r="E954" s="74" t="s">
        <v>1224</v>
      </c>
      <c r="F954" s="74" t="s">
        <v>1226</v>
      </c>
      <c r="G954" s="74" t="s">
        <v>1226</v>
      </c>
    </row>
    <row r="955" spans="1:7" x14ac:dyDescent="0.2">
      <c r="A955" s="39">
        <v>4432</v>
      </c>
      <c r="B955" s="38" t="s">
        <v>1675</v>
      </c>
      <c r="C955" s="39" t="s">
        <v>1239</v>
      </c>
      <c r="D955" s="74" t="s">
        <v>1227</v>
      </c>
      <c r="E955" s="74" t="s">
        <v>1224</v>
      </c>
      <c r="F955" s="74" t="s">
        <v>1226</v>
      </c>
      <c r="G955" s="74" t="s">
        <v>1225</v>
      </c>
    </row>
    <row r="956" spans="1:7" x14ac:dyDescent="0.2">
      <c r="A956" s="39">
        <v>4441</v>
      </c>
      <c r="B956" s="38" t="s">
        <v>1676</v>
      </c>
      <c r="C956" s="39" t="s">
        <v>1239</v>
      </c>
      <c r="D956" s="74" t="s">
        <v>1227</v>
      </c>
      <c r="E956" s="74" t="s">
        <v>1224</v>
      </c>
      <c r="F956" s="74" t="s">
        <v>1226</v>
      </c>
      <c r="G956" s="74" t="s">
        <v>1225</v>
      </c>
    </row>
    <row r="957" spans="1:7" x14ac:dyDescent="0.2">
      <c r="A957" s="39">
        <v>4442</v>
      </c>
      <c r="B957" s="38" t="s">
        <v>1677</v>
      </c>
      <c r="C957" s="39" t="s">
        <v>509</v>
      </c>
      <c r="D957" s="74" t="s">
        <v>1227</v>
      </c>
      <c r="E957" s="74" t="s">
        <v>1224</v>
      </c>
      <c r="F957" s="74" t="s">
        <v>1226</v>
      </c>
      <c r="G957" s="74" t="s">
        <v>1225</v>
      </c>
    </row>
    <row r="958" spans="1:7" x14ac:dyDescent="0.2">
      <c r="A958" s="39">
        <v>4443</v>
      </c>
      <c r="B958" s="38" t="s">
        <v>1678</v>
      </c>
      <c r="C958" s="39" t="s">
        <v>509</v>
      </c>
      <c r="D958" s="74" t="s">
        <v>1227</v>
      </c>
      <c r="E958" s="74" t="s">
        <v>1224</v>
      </c>
      <c r="F958" s="74" t="s">
        <v>1226</v>
      </c>
      <c r="G958" s="74" t="s">
        <v>1226</v>
      </c>
    </row>
    <row r="959" spans="1:7" x14ac:dyDescent="0.2">
      <c r="A959" s="39">
        <v>4451</v>
      </c>
      <c r="B959" s="38" t="s">
        <v>1679</v>
      </c>
      <c r="C959" s="39" t="s">
        <v>509</v>
      </c>
      <c r="D959" s="74" t="s">
        <v>1227</v>
      </c>
      <c r="E959" s="74" t="s">
        <v>1224</v>
      </c>
      <c r="F959" s="74" t="s">
        <v>1226</v>
      </c>
      <c r="G959" s="74" t="s">
        <v>1226</v>
      </c>
    </row>
    <row r="960" spans="1:7" x14ac:dyDescent="0.2">
      <c r="A960" s="39">
        <v>4452</v>
      </c>
      <c r="B960" s="38" t="s">
        <v>1680</v>
      </c>
      <c r="C960" s="39" t="s">
        <v>509</v>
      </c>
      <c r="D960" s="74" t="s">
        <v>1227</v>
      </c>
      <c r="E960" s="74" t="s">
        <v>1224</v>
      </c>
      <c r="F960" s="74" t="s">
        <v>1226</v>
      </c>
      <c r="G960" s="74" t="s">
        <v>1226</v>
      </c>
    </row>
    <row r="961" spans="1:7" x14ac:dyDescent="0.2">
      <c r="A961" s="39">
        <v>4453</v>
      </c>
      <c r="B961" s="38" t="s">
        <v>1877</v>
      </c>
      <c r="C961" s="39" t="s">
        <v>509</v>
      </c>
      <c r="D961" s="74" t="s">
        <v>1227</v>
      </c>
      <c r="E961" s="74" t="s">
        <v>1224</v>
      </c>
      <c r="F961" s="74" t="s">
        <v>1226</v>
      </c>
      <c r="G961" s="74" t="s">
        <v>1225</v>
      </c>
    </row>
    <row r="962" spans="1:7" x14ac:dyDescent="0.2">
      <c r="A962" s="39">
        <v>4460</v>
      </c>
      <c r="B962" s="38" t="s">
        <v>1681</v>
      </c>
      <c r="C962" s="39" t="s">
        <v>509</v>
      </c>
      <c r="D962" s="74" t="s">
        <v>1227</v>
      </c>
      <c r="E962" s="74" t="s">
        <v>1224</v>
      </c>
      <c r="F962" s="74" t="s">
        <v>1226</v>
      </c>
      <c r="G962" s="74" t="s">
        <v>1225</v>
      </c>
    </row>
    <row r="963" spans="1:7" x14ac:dyDescent="0.2">
      <c r="A963" s="39">
        <v>4461</v>
      </c>
      <c r="B963" s="38" t="s">
        <v>1682</v>
      </c>
      <c r="C963" s="39" t="s">
        <v>509</v>
      </c>
      <c r="D963" s="74" t="s">
        <v>1227</v>
      </c>
      <c r="E963" s="74" t="s">
        <v>1224</v>
      </c>
      <c r="F963" s="74" t="s">
        <v>1226</v>
      </c>
      <c r="G963" s="74" t="s">
        <v>1225</v>
      </c>
    </row>
    <row r="964" spans="1:7" x14ac:dyDescent="0.2">
      <c r="A964" s="39">
        <v>4462</v>
      </c>
      <c r="B964" s="38" t="s">
        <v>245</v>
      </c>
      <c r="C964" s="39" t="s">
        <v>509</v>
      </c>
      <c r="D964" s="74" t="s">
        <v>1227</v>
      </c>
      <c r="E964" s="74" t="s">
        <v>1224</v>
      </c>
      <c r="F964" s="74" t="s">
        <v>1226</v>
      </c>
      <c r="G964" s="74" t="s">
        <v>1225</v>
      </c>
    </row>
    <row r="965" spans="1:7" x14ac:dyDescent="0.2">
      <c r="A965" s="39">
        <v>4463</v>
      </c>
      <c r="B965" s="38" t="s">
        <v>1683</v>
      </c>
      <c r="C965" s="39" t="s">
        <v>509</v>
      </c>
      <c r="D965" s="74" t="s">
        <v>1227</v>
      </c>
      <c r="E965" s="74" t="s">
        <v>1224</v>
      </c>
      <c r="F965" s="74" t="s">
        <v>1226</v>
      </c>
      <c r="G965" s="74" t="s">
        <v>1226</v>
      </c>
    </row>
    <row r="966" spans="1:7" x14ac:dyDescent="0.2">
      <c r="A966" s="39">
        <v>4464</v>
      </c>
      <c r="B966" s="38" t="s">
        <v>1684</v>
      </c>
      <c r="C966" s="39" t="s">
        <v>509</v>
      </c>
      <c r="D966" s="74" t="s">
        <v>1227</v>
      </c>
      <c r="E966" s="74" t="s">
        <v>1224</v>
      </c>
      <c r="F966" s="74" t="s">
        <v>1226</v>
      </c>
      <c r="G966" s="74" t="s">
        <v>1225</v>
      </c>
    </row>
    <row r="967" spans="1:7" x14ac:dyDescent="0.2">
      <c r="A967" s="39">
        <v>4470</v>
      </c>
      <c r="B967" s="38" t="s">
        <v>1685</v>
      </c>
      <c r="C967" s="39" t="s">
        <v>509</v>
      </c>
      <c r="D967" s="74" t="s">
        <v>1227</v>
      </c>
      <c r="E967" s="74" t="s">
        <v>1224</v>
      </c>
      <c r="F967" s="74" t="s">
        <v>1226</v>
      </c>
      <c r="G967" s="74" t="s">
        <v>1226</v>
      </c>
    </row>
    <row r="968" spans="1:7" x14ac:dyDescent="0.2">
      <c r="A968" s="39">
        <v>4481</v>
      </c>
      <c r="B968" s="38" t="s">
        <v>1686</v>
      </c>
      <c r="C968" s="39" t="s">
        <v>509</v>
      </c>
      <c r="D968" s="74" t="s">
        <v>1227</v>
      </c>
      <c r="E968" s="74" t="s">
        <v>1224</v>
      </c>
      <c r="F968" s="74" t="s">
        <v>1226</v>
      </c>
      <c r="G968" s="74" t="s">
        <v>1226</v>
      </c>
    </row>
    <row r="969" spans="1:7" x14ac:dyDescent="0.2">
      <c r="A969" s="39">
        <v>4482</v>
      </c>
      <c r="B969" s="38" t="s">
        <v>1687</v>
      </c>
      <c r="C969" s="39" t="s">
        <v>1239</v>
      </c>
      <c r="D969" s="74" t="s">
        <v>1227</v>
      </c>
      <c r="E969" s="74" t="s">
        <v>1224</v>
      </c>
      <c r="F969" s="74" t="s">
        <v>1226</v>
      </c>
      <c r="G969" s="74" t="s">
        <v>1225</v>
      </c>
    </row>
    <row r="970" spans="1:7" x14ac:dyDescent="0.2">
      <c r="A970" s="39">
        <v>4483</v>
      </c>
      <c r="B970" s="38" t="s">
        <v>1688</v>
      </c>
      <c r="C970" s="39" t="s">
        <v>509</v>
      </c>
      <c r="D970" s="74" t="s">
        <v>1227</v>
      </c>
      <c r="E970" s="74" t="s">
        <v>1224</v>
      </c>
      <c r="F970" s="74" t="s">
        <v>1226</v>
      </c>
      <c r="G970" s="74" t="s">
        <v>1225</v>
      </c>
    </row>
    <row r="971" spans="1:7" x14ac:dyDescent="0.2">
      <c r="A971" s="39">
        <v>4484</v>
      </c>
      <c r="B971" s="38" t="s">
        <v>1689</v>
      </c>
      <c r="C971" s="39" t="s">
        <v>509</v>
      </c>
      <c r="D971" s="74" t="s">
        <v>1227</v>
      </c>
      <c r="E971" s="74" t="s">
        <v>1224</v>
      </c>
      <c r="F971" s="74" t="s">
        <v>1226</v>
      </c>
      <c r="G971" s="74" t="s">
        <v>1226</v>
      </c>
    </row>
    <row r="972" spans="1:7" x14ac:dyDescent="0.2">
      <c r="A972" s="39">
        <v>4490</v>
      </c>
      <c r="B972" s="38" t="s">
        <v>1690</v>
      </c>
      <c r="C972" s="39" t="s">
        <v>509</v>
      </c>
      <c r="D972" s="74" t="s">
        <v>1227</v>
      </c>
      <c r="E972" s="74" t="s">
        <v>1224</v>
      </c>
      <c r="F972" s="74" t="s">
        <v>1226</v>
      </c>
      <c r="G972" s="74" t="s">
        <v>1226</v>
      </c>
    </row>
    <row r="973" spans="1:7" x14ac:dyDescent="0.2">
      <c r="A973" s="39">
        <v>4491</v>
      </c>
      <c r="B973" s="38" t="s">
        <v>1691</v>
      </c>
      <c r="C973" s="39" t="s">
        <v>509</v>
      </c>
      <c r="D973" s="74" t="s">
        <v>1227</v>
      </c>
      <c r="E973" s="74" t="s">
        <v>1224</v>
      </c>
      <c r="F973" s="74" t="s">
        <v>1226</v>
      </c>
      <c r="G973" s="74" t="s">
        <v>1226</v>
      </c>
    </row>
    <row r="974" spans="1:7" x14ac:dyDescent="0.2">
      <c r="A974" s="39">
        <v>4492</v>
      </c>
      <c r="B974" s="38" t="s">
        <v>1692</v>
      </c>
      <c r="C974" s="39" t="s">
        <v>509</v>
      </c>
      <c r="D974" s="74" t="s">
        <v>1227</v>
      </c>
      <c r="E974" s="74" t="s">
        <v>1224</v>
      </c>
      <c r="F974" s="74" t="s">
        <v>1226</v>
      </c>
      <c r="G974" s="74" t="s">
        <v>1225</v>
      </c>
    </row>
    <row r="975" spans="1:7" x14ac:dyDescent="0.2">
      <c r="A975" s="39">
        <v>4493</v>
      </c>
      <c r="B975" s="38" t="s">
        <v>1693</v>
      </c>
      <c r="C975" s="39" t="s">
        <v>509</v>
      </c>
      <c r="D975" s="74" t="s">
        <v>1227</v>
      </c>
      <c r="E975" s="74" t="s">
        <v>1224</v>
      </c>
      <c r="F975" s="74" t="s">
        <v>1226</v>
      </c>
      <c r="G975" s="74" t="s">
        <v>1225</v>
      </c>
    </row>
    <row r="976" spans="1:7" x14ac:dyDescent="0.2">
      <c r="A976" s="39">
        <v>4501</v>
      </c>
      <c r="B976" s="38" t="s">
        <v>1694</v>
      </c>
      <c r="C976" s="39" t="s">
        <v>509</v>
      </c>
      <c r="D976" s="74" t="s">
        <v>1227</v>
      </c>
      <c r="E976" s="74" t="s">
        <v>1224</v>
      </c>
      <c r="F976" s="74" t="s">
        <v>1226</v>
      </c>
      <c r="G976" s="74" t="s">
        <v>1226</v>
      </c>
    </row>
    <row r="977" spans="1:7" x14ac:dyDescent="0.2">
      <c r="A977" s="39">
        <v>4502</v>
      </c>
      <c r="B977" s="38" t="s">
        <v>1695</v>
      </c>
      <c r="C977" s="39" t="s">
        <v>509</v>
      </c>
      <c r="D977" s="74" t="s">
        <v>1227</v>
      </c>
      <c r="E977" s="74" t="s">
        <v>1224</v>
      </c>
      <c r="F977" s="74" t="s">
        <v>1226</v>
      </c>
      <c r="G977" s="74" t="s">
        <v>1226</v>
      </c>
    </row>
    <row r="978" spans="1:7" x14ac:dyDescent="0.2">
      <c r="A978" s="39">
        <v>4511</v>
      </c>
      <c r="B978" s="38" t="s">
        <v>1696</v>
      </c>
      <c r="C978" s="39" t="s">
        <v>509</v>
      </c>
      <c r="D978" s="74" t="s">
        <v>1227</v>
      </c>
      <c r="E978" s="74" t="s">
        <v>1224</v>
      </c>
      <c r="F978" s="74" t="s">
        <v>1226</v>
      </c>
      <c r="G978" s="74" t="s">
        <v>1225</v>
      </c>
    </row>
    <row r="979" spans="1:7" x14ac:dyDescent="0.2">
      <c r="A979" s="39">
        <v>4521</v>
      </c>
      <c r="B979" s="38" t="s">
        <v>1697</v>
      </c>
      <c r="C979" s="39" t="s">
        <v>509</v>
      </c>
      <c r="D979" s="74" t="s">
        <v>1227</v>
      </c>
      <c r="E979" s="74" t="s">
        <v>1224</v>
      </c>
      <c r="F979" s="74" t="s">
        <v>1226</v>
      </c>
      <c r="G979" s="74" t="s">
        <v>1225</v>
      </c>
    </row>
    <row r="980" spans="1:7" x14ac:dyDescent="0.2">
      <c r="A980" s="39">
        <v>4522</v>
      </c>
      <c r="B980" s="38" t="s">
        <v>1698</v>
      </c>
      <c r="C980" s="39" t="s">
        <v>509</v>
      </c>
      <c r="D980" s="74" t="s">
        <v>1227</v>
      </c>
      <c r="E980" s="74" t="s">
        <v>1224</v>
      </c>
      <c r="F980" s="74" t="s">
        <v>1226</v>
      </c>
      <c r="G980" s="74" t="s">
        <v>1226</v>
      </c>
    </row>
    <row r="981" spans="1:7" x14ac:dyDescent="0.2">
      <c r="A981" s="39">
        <v>4523</v>
      </c>
      <c r="B981" s="38" t="s">
        <v>1699</v>
      </c>
      <c r="C981" s="39" t="s">
        <v>509</v>
      </c>
      <c r="D981" s="74" t="s">
        <v>1227</v>
      </c>
      <c r="E981" s="74" t="s">
        <v>1224</v>
      </c>
      <c r="F981" s="74" t="s">
        <v>1226</v>
      </c>
      <c r="G981" s="74" t="s">
        <v>1225</v>
      </c>
    </row>
    <row r="982" spans="1:7" x14ac:dyDescent="0.2">
      <c r="A982" s="39">
        <v>4531</v>
      </c>
      <c r="B982" s="38" t="s">
        <v>1700</v>
      </c>
      <c r="C982" s="39" t="s">
        <v>509</v>
      </c>
      <c r="D982" s="74" t="s">
        <v>1227</v>
      </c>
      <c r="E982" s="74" t="s">
        <v>1224</v>
      </c>
      <c r="F982" s="74" t="s">
        <v>1226</v>
      </c>
      <c r="G982" s="74" t="s">
        <v>1226</v>
      </c>
    </row>
    <row r="983" spans="1:7" x14ac:dyDescent="0.2">
      <c r="A983" s="39">
        <v>4532</v>
      </c>
      <c r="B983" s="38" t="s">
        <v>1701</v>
      </c>
      <c r="C983" s="39" t="s">
        <v>509</v>
      </c>
      <c r="D983" s="74" t="s">
        <v>1227</v>
      </c>
      <c r="E983" s="74" t="s">
        <v>1224</v>
      </c>
      <c r="F983" s="74" t="s">
        <v>1226</v>
      </c>
      <c r="G983" s="74" t="s">
        <v>1225</v>
      </c>
    </row>
    <row r="984" spans="1:7" x14ac:dyDescent="0.2">
      <c r="A984" s="39">
        <v>4533</v>
      </c>
      <c r="B984" s="38" t="s">
        <v>1702</v>
      </c>
      <c r="C984" s="39" t="s">
        <v>509</v>
      </c>
      <c r="D984" s="74" t="s">
        <v>1227</v>
      </c>
      <c r="E984" s="74" t="s">
        <v>1224</v>
      </c>
      <c r="F984" s="74" t="s">
        <v>1226</v>
      </c>
      <c r="G984" s="74" t="s">
        <v>1225</v>
      </c>
    </row>
    <row r="985" spans="1:7" x14ac:dyDescent="0.2">
      <c r="A985" s="39">
        <v>4540</v>
      </c>
      <c r="B985" s="38" t="s">
        <v>1703</v>
      </c>
      <c r="C985" s="39" t="s">
        <v>509</v>
      </c>
      <c r="D985" s="74" t="s">
        <v>1227</v>
      </c>
      <c r="E985" s="74" t="s">
        <v>1224</v>
      </c>
      <c r="F985" s="74" t="s">
        <v>1226</v>
      </c>
      <c r="G985" s="74" t="s">
        <v>1226</v>
      </c>
    </row>
    <row r="986" spans="1:7" x14ac:dyDescent="0.2">
      <c r="A986" s="39">
        <v>4541</v>
      </c>
      <c r="B986" s="38" t="s">
        <v>1704</v>
      </c>
      <c r="C986" s="39" t="s">
        <v>509</v>
      </c>
      <c r="D986" s="74" t="s">
        <v>1227</v>
      </c>
      <c r="E986" s="74" t="s">
        <v>1224</v>
      </c>
      <c r="F986" s="74" t="s">
        <v>1226</v>
      </c>
      <c r="G986" s="74" t="s">
        <v>1225</v>
      </c>
    </row>
    <row r="987" spans="1:7" x14ac:dyDescent="0.2">
      <c r="A987" s="39">
        <v>4542</v>
      </c>
      <c r="B987" s="38" t="s">
        <v>1705</v>
      </c>
      <c r="C987" s="39" t="s">
        <v>509</v>
      </c>
      <c r="D987" s="74" t="s">
        <v>1227</v>
      </c>
      <c r="E987" s="74" t="s">
        <v>1224</v>
      </c>
      <c r="F987" s="74" t="s">
        <v>1226</v>
      </c>
      <c r="G987" s="74" t="s">
        <v>1225</v>
      </c>
    </row>
    <row r="988" spans="1:7" x14ac:dyDescent="0.2">
      <c r="A988" s="39">
        <v>4550</v>
      </c>
      <c r="B988" s="38" t="s">
        <v>191</v>
      </c>
      <c r="C988" s="39" t="s">
        <v>509</v>
      </c>
      <c r="D988" s="74" t="s">
        <v>1227</v>
      </c>
      <c r="E988" s="74" t="s">
        <v>1224</v>
      </c>
      <c r="F988" s="74" t="s">
        <v>1226</v>
      </c>
      <c r="G988" s="74" t="s">
        <v>1226</v>
      </c>
    </row>
    <row r="989" spans="1:7" x14ac:dyDescent="0.2">
      <c r="A989" s="39">
        <v>4551</v>
      </c>
      <c r="B989" s="38" t="s">
        <v>1706</v>
      </c>
      <c r="C989" s="39" t="s">
        <v>509</v>
      </c>
      <c r="D989" s="74" t="s">
        <v>1227</v>
      </c>
      <c r="E989" s="74" t="s">
        <v>1224</v>
      </c>
      <c r="F989" s="74" t="s">
        <v>1226</v>
      </c>
      <c r="G989" s="74" t="s">
        <v>1225</v>
      </c>
    </row>
    <row r="990" spans="1:7" x14ac:dyDescent="0.2">
      <c r="A990" s="39">
        <v>4552</v>
      </c>
      <c r="B990" s="38" t="s">
        <v>1707</v>
      </c>
      <c r="C990" s="39" t="s">
        <v>509</v>
      </c>
      <c r="D990" s="74" t="s">
        <v>1227</v>
      </c>
      <c r="E990" s="74" t="s">
        <v>1224</v>
      </c>
      <c r="F990" s="74" t="s">
        <v>1226</v>
      </c>
      <c r="G990" s="74" t="s">
        <v>1226</v>
      </c>
    </row>
    <row r="991" spans="1:7" x14ac:dyDescent="0.2">
      <c r="A991" s="39">
        <v>4553</v>
      </c>
      <c r="B991" s="38" t="s">
        <v>1708</v>
      </c>
      <c r="C991" s="39" t="s">
        <v>509</v>
      </c>
      <c r="D991" s="74" t="s">
        <v>1227</v>
      </c>
      <c r="E991" s="74" t="s">
        <v>1224</v>
      </c>
      <c r="F991" s="74" t="s">
        <v>1226</v>
      </c>
      <c r="G991" s="74" t="s">
        <v>1225</v>
      </c>
    </row>
    <row r="992" spans="1:7" x14ac:dyDescent="0.2">
      <c r="A992" s="39">
        <v>4560</v>
      </c>
      <c r="B992" s="38" t="s">
        <v>1709</v>
      </c>
      <c r="C992" s="39" t="s">
        <v>509</v>
      </c>
      <c r="D992" s="74" t="s">
        <v>1227</v>
      </c>
      <c r="E992" s="74" t="s">
        <v>1224</v>
      </c>
      <c r="F992" s="74" t="s">
        <v>1226</v>
      </c>
      <c r="G992" s="74" t="s">
        <v>1226</v>
      </c>
    </row>
    <row r="993" spans="1:7" x14ac:dyDescent="0.2">
      <c r="A993" s="39">
        <v>4562</v>
      </c>
      <c r="B993" s="38" t="s">
        <v>1710</v>
      </c>
      <c r="C993" s="39" t="s">
        <v>509</v>
      </c>
      <c r="D993" s="74" t="s">
        <v>1227</v>
      </c>
      <c r="E993" s="74" t="s">
        <v>1224</v>
      </c>
      <c r="F993" s="74" t="s">
        <v>1226</v>
      </c>
      <c r="G993" s="74" t="s">
        <v>1225</v>
      </c>
    </row>
    <row r="994" spans="1:7" x14ac:dyDescent="0.2">
      <c r="A994" s="39">
        <v>4563</v>
      </c>
      <c r="B994" s="38" t="s">
        <v>1711</v>
      </c>
      <c r="C994" s="39" t="s">
        <v>509</v>
      </c>
      <c r="D994" s="74" t="s">
        <v>1227</v>
      </c>
      <c r="E994" s="74" t="s">
        <v>1224</v>
      </c>
      <c r="F994" s="74" t="s">
        <v>1226</v>
      </c>
      <c r="G994" s="74" t="s">
        <v>1226</v>
      </c>
    </row>
    <row r="995" spans="1:7" x14ac:dyDescent="0.2">
      <c r="A995" s="39">
        <v>4564</v>
      </c>
      <c r="B995" s="38" t="s">
        <v>1712</v>
      </c>
      <c r="C995" s="39" t="s">
        <v>509</v>
      </c>
      <c r="D995" s="74" t="s">
        <v>1227</v>
      </c>
      <c r="E995" s="74" t="s">
        <v>1224</v>
      </c>
      <c r="F995" s="74" t="s">
        <v>1226</v>
      </c>
      <c r="G995" s="74" t="s">
        <v>1225</v>
      </c>
    </row>
    <row r="996" spans="1:7" x14ac:dyDescent="0.2">
      <c r="A996" s="39">
        <v>4571</v>
      </c>
      <c r="B996" s="38" t="s">
        <v>1713</v>
      </c>
      <c r="C996" s="39" t="s">
        <v>509</v>
      </c>
      <c r="D996" s="74" t="s">
        <v>1227</v>
      </c>
      <c r="E996" s="74" t="s">
        <v>1224</v>
      </c>
      <c r="F996" s="74" t="s">
        <v>1226</v>
      </c>
      <c r="G996" s="74" t="s">
        <v>1225</v>
      </c>
    </row>
    <row r="997" spans="1:7" x14ac:dyDescent="0.2">
      <c r="A997" s="39">
        <v>4572</v>
      </c>
      <c r="B997" s="38" t="s">
        <v>1714</v>
      </c>
      <c r="C997" s="39" t="s">
        <v>509</v>
      </c>
      <c r="D997" s="74" t="s">
        <v>1227</v>
      </c>
      <c r="E997" s="74" t="s">
        <v>1224</v>
      </c>
      <c r="F997" s="74" t="s">
        <v>1226</v>
      </c>
      <c r="G997" s="74" t="s">
        <v>1225</v>
      </c>
    </row>
    <row r="998" spans="1:7" x14ac:dyDescent="0.2">
      <c r="A998" s="39">
        <v>4573</v>
      </c>
      <c r="B998" s="38" t="s">
        <v>1715</v>
      </c>
      <c r="C998" s="39" t="s">
        <v>509</v>
      </c>
      <c r="D998" s="74" t="s">
        <v>1227</v>
      </c>
      <c r="E998" s="74" t="s">
        <v>1224</v>
      </c>
      <c r="F998" s="74" t="s">
        <v>1226</v>
      </c>
      <c r="G998" s="74" t="s">
        <v>1226</v>
      </c>
    </row>
    <row r="999" spans="1:7" x14ac:dyDescent="0.2">
      <c r="A999" s="39">
        <v>4574</v>
      </c>
      <c r="B999" s="38" t="s">
        <v>1716</v>
      </c>
      <c r="C999" s="39" t="s">
        <v>509</v>
      </c>
      <c r="D999" s="74" t="s">
        <v>1227</v>
      </c>
      <c r="E999" s="74" t="s">
        <v>1224</v>
      </c>
      <c r="F999" s="74" t="s">
        <v>1226</v>
      </c>
      <c r="G999" s="74" t="s">
        <v>1225</v>
      </c>
    </row>
    <row r="1000" spans="1:7" x14ac:dyDescent="0.2">
      <c r="A1000" s="39">
        <v>4575</v>
      </c>
      <c r="B1000" s="38" t="s">
        <v>1717</v>
      </c>
      <c r="C1000" s="39" t="s">
        <v>509</v>
      </c>
      <c r="D1000" s="74" t="s">
        <v>1227</v>
      </c>
      <c r="E1000" s="74" t="s">
        <v>1224</v>
      </c>
      <c r="F1000" s="74" t="s">
        <v>1226</v>
      </c>
      <c r="G1000" s="74" t="s">
        <v>1225</v>
      </c>
    </row>
    <row r="1001" spans="1:7" x14ac:dyDescent="0.2">
      <c r="A1001" s="39">
        <v>4580</v>
      </c>
      <c r="B1001" s="38" t="s">
        <v>1718</v>
      </c>
      <c r="C1001" s="39" t="s">
        <v>509</v>
      </c>
      <c r="D1001" s="74" t="s">
        <v>1227</v>
      </c>
      <c r="E1001" s="74" t="s">
        <v>1224</v>
      </c>
      <c r="F1001" s="74" t="s">
        <v>1226</v>
      </c>
      <c r="G1001" s="74" t="s">
        <v>1226</v>
      </c>
    </row>
    <row r="1002" spans="1:7" x14ac:dyDescent="0.2">
      <c r="A1002" s="39">
        <v>4581</v>
      </c>
      <c r="B1002" s="38" t="s">
        <v>1719</v>
      </c>
      <c r="C1002" s="39" t="s">
        <v>509</v>
      </c>
      <c r="D1002" s="74" t="s">
        <v>1227</v>
      </c>
      <c r="E1002" s="74" t="s">
        <v>1224</v>
      </c>
      <c r="F1002" s="74" t="s">
        <v>1226</v>
      </c>
      <c r="G1002" s="74" t="s">
        <v>1225</v>
      </c>
    </row>
    <row r="1003" spans="1:7" x14ac:dyDescent="0.2">
      <c r="A1003" s="39">
        <v>4582</v>
      </c>
      <c r="B1003" s="38" t="s">
        <v>1720</v>
      </c>
      <c r="C1003" s="39" t="s">
        <v>509</v>
      </c>
      <c r="D1003" s="74" t="s">
        <v>1227</v>
      </c>
      <c r="E1003" s="74" t="s">
        <v>1224</v>
      </c>
      <c r="F1003" s="74" t="s">
        <v>1226</v>
      </c>
      <c r="G1003" s="74" t="s">
        <v>1226</v>
      </c>
    </row>
    <row r="1004" spans="1:7" x14ac:dyDescent="0.2">
      <c r="A1004" s="39">
        <v>4591</v>
      </c>
      <c r="B1004" s="38" t="s">
        <v>1721</v>
      </c>
      <c r="C1004" s="39" t="s">
        <v>509</v>
      </c>
      <c r="D1004" s="74" t="s">
        <v>1227</v>
      </c>
      <c r="E1004" s="74" t="s">
        <v>1224</v>
      </c>
      <c r="F1004" s="74" t="s">
        <v>1226</v>
      </c>
      <c r="G1004" s="74" t="s">
        <v>1226</v>
      </c>
    </row>
    <row r="1005" spans="1:7" x14ac:dyDescent="0.2">
      <c r="A1005" s="39">
        <v>4592</v>
      </c>
      <c r="B1005" s="38" t="s">
        <v>1722</v>
      </c>
      <c r="C1005" s="39" t="s">
        <v>509</v>
      </c>
      <c r="D1005" s="74" t="s">
        <v>1227</v>
      </c>
      <c r="E1005" s="74" t="s">
        <v>1224</v>
      </c>
      <c r="F1005" s="74" t="s">
        <v>1226</v>
      </c>
      <c r="G1005" s="74" t="s">
        <v>1225</v>
      </c>
    </row>
    <row r="1006" spans="1:7" x14ac:dyDescent="0.2">
      <c r="A1006" s="39">
        <v>4593</v>
      </c>
      <c r="B1006" s="38" t="s">
        <v>1723</v>
      </c>
      <c r="C1006" s="39" t="s">
        <v>509</v>
      </c>
      <c r="D1006" s="74" t="s">
        <v>1227</v>
      </c>
      <c r="E1006" s="74" t="s">
        <v>1224</v>
      </c>
      <c r="F1006" s="74" t="s">
        <v>1226</v>
      </c>
      <c r="G1006" s="74" t="s">
        <v>1225</v>
      </c>
    </row>
    <row r="1007" spans="1:7" x14ac:dyDescent="0.2">
      <c r="A1007" s="39">
        <v>4594</v>
      </c>
      <c r="B1007" s="38" t="s">
        <v>1724</v>
      </c>
      <c r="C1007" s="39" t="s">
        <v>509</v>
      </c>
      <c r="D1007" s="74" t="s">
        <v>1227</v>
      </c>
      <c r="E1007" s="74" t="s">
        <v>1224</v>
      </c>
      <c r="F1007" s="74" t="s">
        <v>1226</v>
      </c>
      <c r="G1007" s="74" t="s">
        <v>1226</v>
      </c>
    </row>
    <row r="1008" spans="1:7" x14ac:dyDescent="0.2">
      <c r="A1008" s="39">
        <v>4595</v>
      </c>
      <c r="B1008" s="38" t="s">
        <v>1725</v>
      </c>
      <c r="C1008" s="39" t="s">
        <v>509</v>
      </c>
      <c r="D1008" s="74" t="s">
        <v>1227</v>
      </c>
      <c r="E1008" s="74" t="s">
        <v>1224</v>
      </c>
      <c r="F1008" s="74" t="s">
        <v>1226</v>
      </c>
      <c r="G1008" s="74" t="s">
        <v>1225</v>
      </c>
    </row>
    <row r="1009" spans="1:7" x14ac:dyDescent="0.2">
      <c r="A1009" s="39">
        <v>4600</v>
      </c>
      <c r="B1009" s="38" t="s">
        <v>270</v>
      </c>
      <c r="C1009" s="39" t="s">
        <v>509</v>
      </c>
      <c r="D1009" s="74" t="s">
        <v>1227</v>
      </c>
      <c r="E1009" s="74" t="s">
        <v>1224</v>
      </c>
      <c r="F1009" s="74" t="s">
        <v>1226</v>
      </c>
      <c r="G1009" s="74" t="s">
        <v>1226</v>
      </c>
    </row>
    <row r="1010" spans="1:7" x14ac:dyDescent="0.2">
      <c r="A1010" s="39">
        <v>4601</v>
      </c>
      <c r="B1010" s="38" t="s">
        <v>270</v>
      </c>
      <c r="C1010" s="39" t="s">
        <v>509</v>
      </c>
      <c r="D1010" s="74" t="s">
        <v>1229</v>
      </c>
      <c r="E1010" s="74" t="s">
        <v>1224</v>
      </c>
      <c r="F1010" s="74" t="s">
        <v>1225</v>
      </c>
      <c r="G1010" s="74" t="s">
        <v>1226</v>
      </c>
    </row>
    <row r="1011" spans="1:7" x14ac:dyDescent="0.2">
      <c r="A1011" s="39">
        <v>4602</v>
      </c>
      <c r="B1011" s="38" t="s">
        <v>275</v>
      </c>
      <c r="C1011" s="39" t="s">
        <v>509</v>
      </c>
      <c r="D1011" s="74" t="s">
        <v>1229</v>
      </c>
      <c r="E1011" s="74" t="s">
        <v>1224</v>
      </c>
      <c r="F1011" s="74" t="s">
        <v>1225</v>
      </c>
      <c r="G1011" s="74" t="s">
        <v>1226</v>
      </c>
    </row>
    <row r="1012" spans="1:7" x14ac:dyDescent="0.2">
      <c r="A1012" s="39">
        <v>4603</v>
      </c>
      <c r="B1012" s="38" t="s">
        <v>270</v>
      </c>
      <c r="C1012" s="39" t="s">
        <v>509</v>
      </c>
      <c r="D1012" s="74" t="s">
        <v>1229</v>
      </c>
      <c r="E1012" s="74" t="s">
        <v>1224</v>
      </c>
      <c r="F1012" s="74" t="s">
        <v>1225</v>
      </c>
      <c r="G1012" s="74" t="s">
        <v>1226</v>
      </c>
    </row>
    <row r="1013" spans="1:7" x14ac:dyDescent="0.2">
      <c r="A1013" s="39">
        <v>4604</v>
      </c>
      <c r="B1013" s="38" t="s">
        <v>270</v>
      </c>
      <c r="C1013" s="39" t="s">
        <v>509</v>
      </c>
      <c r="D1013" s="74" t="s">
        <v>1229</v>
      </c>
      <c r="E1013" s="74" t="s">
        <v>1224</v>
      </c>
      <c r="F1013" s="74" t="s">
        <v>1225</v>
      </c>
      <c r="G1013" s="74" t="s">
        <v>1226</v>
      </c>
    </row>
    <row r="1014" spans="1:7" x14ac:dyDescent="0.2">
      <c r="A1014" s="39">
        <v>4605</v>
      </c>
      <c r="B1014" s="38" t="s">
        <v>270</v>
      </c>
      <c r="C1014" s="39" t="s">
        <v>509</v>
      </c>
      <c r="D1014" s="74" t="s">
        <v>1229</v>
      </c>
      <c r="E1014" s="74" t="s">
        <v>1224</v>
      </c>
      <c r="F1014" s="74" t="s">
        <v>1225</v>
      </c>
      <c r="G1014" s="74" t="s">
        <v>1226</v>
      </c>
    </row>
    <row r="1015" spans="1:7" x14ac:dyDescent="0.2">
      <c r="A1015" s="39">
        <v>4606</v>
      </c>
      <c r="B1015" s="38" t="s">
        <v>270</v>
      </c>
      <c r="C1015" s="39" t="s">
        <v>509</v>
      </c>
      <c r="D1015" s="74" t="s">
        <v>1229</v>
      </c>
      <c r="E1015" s="74" t="s">
        <v>1224</v>
      </c>
      <c r="F1015" s="74" t="s">
        <v>1225</v>
      </c>
      <c r="G1015" s="74" t="s">
        <v>1226</v>
      </c>
    </row>
    <row r="1016" spans="1:7" x14ac:dyDescent="0.2">
      <c r="A1016" s="39">
        <v>4607</v>
      </c>
      <c r="B1016" s="38" t="s">
        <v>270</v>
      </c>
      <c r="C1016" s="39" t="s">
        <v>509</v>
      </c>
      <c r="D1016" s="74" t="s">
        <v>1229</v>
      </c>
      <c r="E1016" s="74" t="s">
        <v>1224</v>
      </c>
      <c r="F1016" s="74" t="s">
        <v>1225</v>
      </c>
      <c r="G1016" s="74" t="s">
        <v>1226</v>
      </c>
    </row>
    <row r="1017" spans="1:7" x14ac:dyDescent="0.2">
      <c r="A1017" s="39">
        <v>4609</v>
      </c>
      <c r="B1017" s="38" t="s">
        <v>276</v>
      </c>
      <c r="C1017" s="39" t="s">
        <v>509</v>
      </c>
      <c r="D1017" s="74" t="s">
        <v>1229</v>
      </c>
      <c r="E1017" s="74" t="s">
        <v>1224</v>
      </c>
      <c r="F1017" s="74" t="s">
        <v>1225</v>
      </c>
      <c r="G1017" s="74" t="s">
        <v>1226</v>
      </c>
    </row>
    <row r="1018" spans="1:7" x14ac:dyDescent="0.2">
      <c r="A1018" s="39">
        <v>4611</v>
      </c>
      <c r="B1018" s="38" t="s">
        <v>277</v>
      </c>
      <c r="C1018" s="39" t="s">
        <v>509</v>
      </c>
      <c r="D1018" s="74" t="s">
        <v>1227</v>
      </c>
      <c r="E1018" s="74" t="s">
        <v>1224</v>
      </c>
      <c r="F1018" s="74" t="s">
        <v>1226</v>
      </c>
      <c r="G1018" s="74" t="s">
        <v>1225</v>
      </c>
    </row>
    <row r="1019" spans="1:7" x14ac:dyDescent="0.2">
      <c r="A1019" s="39">
        <v>4612</v>
      </c>
      <c r="B1019" s="38" t="s">
        <v>278</v>
      </c>
      <c r="C1019" s="39" t="s">
        <v>509</v>
      </c>
      <c r="D1019" s="74" t="s">
        <v>1227</v>
      </c>
      <c r="E1019" s="74" t="s">
        <v>1224</v>
      </c>
      <c r="F1019" s="74" t="s">
        <v>1226</v>
      </c>
      <c r="G1019" s="74" t="s">
        <v>1225</v>
      </c>
    </row>
    <row r="1020" spans="1:7" x14ac:dyDescent="0.2">
      <c r="A1020" s="39">
        <v>4613</v>
      </c>
      <c r="B1020" s="38" t="s">
        <v>279</v>
      </c>
      <c r="C1020" s="39" t="s">
        <v>509</v>
      </c>
      <c r="D1020" s="74" t="s">
        <v>1227</v>
      </c>
      <c r="E1020" s="74" t="s">
        <v>1224</v>
      </c>
      <c r="F1020" s="74" t="s">
        <v>1226</v>
      </c>
      <c r="G1020" s="74" t="s">
        <v>1225</v>
      </c>
    </row>
    <row r="1021" spans="1:7" x14ac:dyDescent="0.2">
      <c r="A1021" s="39">
        <v>4614</v>
      </c>
      <c r="B1021" s="38" t="s">
        <v>280</v>
      </c>
      <c r="C1021" s="39" t="s">
        <v>509</v>
      </c>
      <c r="D1021" s="74" t="s">
        <v>1227</v>
      </c>
      <c r="E1021" s="74" t="s">
        <v>1224</v>
      </c>
      <c r="F1021" s="74" t="s">
        <v>1226</v>
      </c>
      <c r="G1021" s="74" t="s">
        <v>1226</v>
      </c>
    </row>
    <row r="1022" spans="1:7" x14ac:dyDescent="0.2">
      <c r="A1022" s="39">
        <v>4615</v>
      </c>
      <c r="B1022" s="38" t="s">
        <v>281</v>
      </c>
      <c r="C1022" s="39" t="s">
        <v>509</v>
      </c>
      <c r="D1022" s="74" t="s">
        <v>1227</v>
      </c>
      <c r="E1022" s="74" t="s">
        <v>1224</v>
      </c>
      <c r="F1022" s="74" t="s">
        <v>1226</v>
      </c>
      <c r="G1022" s="74" t="s">
        <v>1225</v>
      </c>
    </row>
    <row r="1023" spans="1:7" x14ac:dyDescent="0.2">
      <c r="A1023" s="39">
        <v>4616</v>
      </c>
      <c r="B1023" s="38" t="s">
        <v>282</v>
      </c>
      <c r="C1023" s="39" t="s">
        <v>509</v>
      </c>
      <c r="D1023" s="74" t="s">
        <v>1227</v>
      </c>
      <c r="E1023" s="74" t="s">
        <v>1224</v>
      </c>
      <c r="F1023" s="74" t="s">
        <v>1226</v>
      </c>
      <c r="G1023" s="74" t="s">
        <v>1225</v>
      </c>
    </row>
    <row r="1024" spans="1:7" x14ac:dyDescent="0.2">
      <c r="A1024" s="39">
        <v>4621</v>
      </c>
      <c r="B1024" s="38" t="s">
        <v>283</v>
      </c>
      <c r="C1024" s="39" t="s">
        <v>509</v>
      </c>
      <c r="D1024" s="74" t="s">
        <v>1227</v>
      </c>
      <c r="E1024" s="74" t="s">
        <v>1224</v>
      </c>
      <c r="F1024" s="74" t="s">
        <v>1226</v>
      </c>
      <c r="G1024" s="74" t="s">
        <v>1225</v>
      </c>
    </row>
    <row r="1025" spans="1:7" x14ac:dyDescent="0.2">
      <c r="A1025" s="39">
        <v>4622</v>
      </c>
      <c r="B1025" s="38" t="s">
        <v>284</v>
      </c>
      <c r="C1025" s="39" t="s">
        <v>509</v>
      </c>
      <c r="D1025" s="74" t="s">
        <v>1227</v>
      </c>
      <c r="E1025" s="74" t="s">
        <v>1224</v>
      </c>
      <c r="F1025" s="74" t="s">
        <v>1226</v>
      </c>
      <c r="G1025" s="74" t="s">
        <v>1225</v>
      </c>
    </row>
    <row r="1026" spans="1:7" x14ac:dyDescent="0.2">
      <c r="A1026" s="39">
        <v>4623</v>
      </c>
      <c r="B1026" s="38" t="s">
        <v>285</v>
      </c>
      <c r="C1026" s="39" t="s">
        <v>509</v>
      </c>
      <c r="D1026" s="74" t="s">
        <v>1227</v>
      </c>
      <c r="E1026" s="74" t="s">
        <v>1224</v>
      </c>
      <c r="F1026" s="74" t="s">
        <v>1226</v>
      </c>
      <c r="G1026" s="74" t="s">
        <v>1226</v>
      </c>
    </row>
    <row r="1027" spans="1:7" x14ac:dyDescent="0.2">
      <c r="A1027" s="39">
        <v>4624</v>
      </c>
      <c r="B1027" s="38" t="s">
        <v>286</v>
      </c>
      <c r="C1027" s="39" t="s">
        <v>509</v>
      </c>
      <c r="D1027" s="74" t="s">
        <v>1227</v>
      </c>
      <c r="E1027" s="74" t="s">
        <v>1224</v>
      </c>
      <c r="F1027" s="74" t="s">
        <v>1226</v>
      </c>
      <c r="G1027" s="74" t="s">
        <v>1225</v>
      </c>
    </row>
    <row r="1028" spans="1:7" x14ac:dyDescent="0.2">
      <c r="A1028" s="39">
        <v>4625</v>
      </c>
      <c r="B1028" s="38" t="s">
        <v>287</v>
      </c>
      <c r="C1028" s="39" t="s">
        <v>509</v>
      </c>
      <c r="D1028" s="74" t="s">
        <v>1227</v>
      </c>
      <c r="E1028" s="74" t="s">
        <v>1224</v>
      </c>
      <c r="F1028" s="74" t="s">
        <v>1226</v>
      </c>
      <c r="G1028" s="74" t="s">
        <v>1225</v>
      </c>
    </row>
    <row r="1029" spans="1:7" x14ac:dyDescent="0.2">
      <c r="A1029" s="39">
        <v>4631</v>
      </c>
      <c r="B1029" s="38" t="s">
        <v>288</v>
      </c>
      <c r="C1029" s="39" t="s">
        <v>509</v>
      </c>
      <c r="D1029" s="74" t="s">
        <v>1227</v>
      </c>
      <c r="E1029" s="74" t="s">
        <v>1224</v>
      </c>
      <c r="F1029" s="74" t="s">
        <v>1226</v>
      </c>
      <c r="G1029" s="74" t="s">
        <v>1225</v>
      </c>
    </row>
    <row r="1030" spans="1:7" x14ac:dyDescent="0.2">
      <c r="A1030" s="39">
        <v>4632</v>
      </c>
      <c r="B1030" s="38" t="s">
        <v>289</v>
      </c>
      <c r="C1030" s="39" t="s">
        <v>509</v>
      </c>
      <c r="D1030" s="74" t="s">
        <v>1227</v>
      </c>
      <c r="E1030" s="74" t="s">
        <v>1224</v>
      </c>
      <c r="F1030" s="74" t="s">
        <v>1226</v>
      </c>
      <c r="G1030" s="74" t="s">
        <v>1226</v>
      </c>
    </row>
    <row r="1031" spans="1:7" x14ac:dyDescent="0.2">
      <c r="A1031" s="39">
        <v>4633</v>
      </c>
      <c r="B1031" s="38" t="s">
        <v>290</v>
      </c>
      <c r="C1031" s="39" t="s">
        <v>509</v>
      </c>
      <c r="D1031" s="74" t="s">
        <v>1227</v>
      </c>
      <c r="E1031" s="74" t="s">
        <v>1224</v>
      </c>
      <c r="F1031" s="74" t="s">
        <v>1226</v>
      </c>
      <c r="G1031" s="74" t="s">
        <v>1225</v>
      </c>
    </row>
    <row r="1032" spans="1:7" x14ac:dyDescent="0.2">
      <c r="A1032" s="39">
        <v>4641</v>
      </c>
      <c r="B1032" s="38" t="s">
        <v>291</v>
      </c>
      <c r="C1032" s="39" t="s">
        <v>509</v>
      </c>
      <c r="D1032" s="74" t="s">
        <v>1227</v>
      </c>
      <c r="E1032" s="74" t="s">
        <v>1224</v>
      </c>
      <c r="F1032" s="74" t="s">
        <v>1226</v>
      </c>
      <c r="G1032" s="74" t="s">
        <v>1225</v>
      </c>
    </row>
    <row r="1033" spans="1:7" x14ac:dyDescent="0.2">
      <c r="A1033" s="39">
        <v>4642</v>
      </c>
      <c r="B1033" s="38" t="s">
        <v>292</v>
      </c>
      <c r="C1033" s="39" t="s">
        <v>509</v>
      </c>
      <c r="D1033" s="74" t="s">
        <v>1227</v>
      </c>
      <c r="E1033" s="74" t="s">
        <v>1224</v>
      </c>
      <c r="F1033" s="74" t="s">
        <v>1226</v>
      </c>
      <c r="G1033" s="74" t="s">
        <v>1226</v>
      </c>
    </row>
    <row r="1034" spans="1:7" x14ac:dyDescent="0.2">
      <c r="A1034" s="39">
        <v>4643</v>
      </c>
      <c r="B1034" s="38" t="s">
        <v>293</v>
      </c>
      <c r="C1034" s="39" t="s">
        <v>509</v>
      </c>
      <c r="D1034" s="74" t="s">
        <v>1227</v>
      </c>
      <c r="E1034" s="74" t="s">
        <v>1224</v>
      </c>
      <c r="F1034" s="74" t="s">
        <v>1226</v>
      </c>
      <c r="G1034" s="74" t="s">
        <v>1226</v>
      </c>
    </row>
    <row r="1035" spans="1:7" x14ac:dyDescent="0.2">
      <c r="A1035" s="39">
        <v>4644</v>
      </c>
      <c r="B1035" s="38" t="s">
        <v>294</v>
      </c>
      <c r="C1035" s="39" t="s">
        <v>509</v>
      </c>
      <c r="D1035" s="74" t="s">
        <v>1227</v>
      </c>
      <c r="E1035" s="74" t="s">
        <v>1224</v>
      </c>
      <c r="F1035" s="74" t="s">
        <v>1226</v>
      </c>
      <c r="G1035" s="74" t="s">
        <v>1226</v>
      </c>
    </row>
    <row r="1036" spans="1:7" x14ac:dyDescent="0.2">
      <c r="A1036" s="39">
        <v>4645</v>
      </c>
      <c r="B1036" s="38" t="s">
        <v>295</v>
      </c>
      <c r="C1036" s="39" t="s">
        <v>509</v>
      </c>
      <c r="D1036" s="74" t="s">
        <v>1227</v>
      </c>
      <c r="E1036" s="74" t="s">
        <v>1224</v>
      </c>
      <c r="F1036" s="74" t="s">
        <v>1226</v>
      </c>
      <c r="G1036" s="74" t="s">
        <v>1225</v>
      </c>
    </row>
    <row r="1037" spans="1:7" x14ac:dyDescent="0.2">
      <c r="A1037" s="39">
        <v>4650</v>
      </c>
      <c r="B1037" s="38" t="s">
        <v>296</v>
      </c>
      <c r="C1037" s="39" t="s">
        <v>509</v>
      </c>
      <c r="D1037" s="74" t="s">
        <v>1227</v>
      </c>
      <c r="E1037" s="74" t="s">
        <v>1224</v>
      </c>
      <c r="F1037" s="74" t="s">
        <v>1226</v>
      </c>
      <c r="G1037" s="74" t="s">
        <v>1226</v>
      </c>
    </row>
    <row r="1038" spans="1:7" x14ac:dyDescent="0.2">
      <c r="A1038" s="39">
        <v>4651</v>
      </c>
      <c r="B1038" s="38" t="s">
        <v>297</v>
      </c>
      <c r="C1038" s="39" t="s">
        <v>509</v>
      </c>
      <c r="D1038" s="74" t="s">
        <v>1227</v>
      </c>
      <c r="E1038" s="74" t="s">
        <v>1224</v>
      </c>
      <c r="F1038" s="74" t="s">
        <v>1226</v>
      </c>
      <c r="G1038" s="74" t="s">
        <v>1226</v>
      </c>
    </row>
    <row r="1039" spans="1:7" x14ac:dyDescent="0.2">
      <c r="A1039" s="39">
        <v>4652</v>
      </c>
      <c r="B1039" s="38" t="s">
        <v>298</v>
      </c>
      <c r="C1039" s="39" t="s">
        <v>509</v>
      </c>
      <c r="D1039" s="74" t="s">
        <v>1227</v>
      </c>
      <c r="E1039" s="74" t="s">
        <v>1224</v>
      </c>
      <c r="F1039" s="74" t="s">
        <v>1226</v>
      </c>
      <c r="G1039" s="74" t="s">
        <v>1226</v>
      </c>
    </row>
    <row r="1040" spans="1:7" x14ac:dyDescent="0.2">
      <c r="A1040" s="39">
        <v>4653</v>
      </c>
      <c r="B1040" s="38" t="s">
        <v>299</v>
      </c>
      <c r="C1040" s="39" t="s">
        <v>509</v>
      </c>
      <c r="D1040" s="74" t="s">
        <v>1227</v>
      </c>
      <c r="E1040" s="74" t="s">
        <v>1224</v>
      </c>
      <c r="F1040" s="74" t="s">
        <v>1226</v>
      </c>
      <c r="G1040" s="74" t="s">
        <v>1225</v>
      </c>
    </row>
    <row r="1041" spans="1:7" x14ac:dyDescent="0.2">
      <c r="A1041" s="39">
        <v>4654</v>
      </c>
      <c r="B1041" s="38" t="s">
        <v>300</v>
      </c>
      <c r="C1041" s="39" t="s">
        <v>509</v>
      </c>
      <c r="D1041" s="74" t="s">
        <v>1227</v>
      </c>
      <c r="E1041" s="74" t="s">
        <v>1224</v>
      </c>
      <c r="F1041" s="74" t="s">
        <v>1226</v>
      </c>
      <c r="G1041" s="74" t="s">
        <v>1225</v>
      </c>
    </row>
    <row r="1042" spans="1:7" x14ac:dyDescent="0.2">
      <c r="A1042" s="39">
        <v>4655</v>
      </c>
      <c r="B1042" s="38" t="s">
        <v>301</v>
      </c>
      <c r="C1042" s="39" t="s">
        <v>509</v>
      </c>
      <c r="D1042" s="74" t="s">
        <v>1227</v>
      </c>
      <c r="E1042" s="74" t="s">
        <v>1224</v>
      </c>
      <c r="F1042" s="74" t="s">
        <v>1226</v>
      </c>
      <c r="G1042" s="74" t="s">
        <v>1226</v>
      </c>
    </row>
    <row r="1043" spans="1:7" x14ac:dyDescent="0.2">
      <c r="A1043" s="39">
        <v>4656</v>
      </c>
      <c r="B1043" s="38" t="s">
        <v>302</v>
      </c>
      <c r="C1043" s="39" t="s">
        <v>509</v>
      </c>
      <c r="D1043" s="74" t="s">
        <v>1227</v>
      </c>
      <c r="E1043" s="74" t="s">
        <v>1224</v>
      </c>
      <c r="F1043" s="74" t="s">
        <v>1226</v>
      </c>
      <c r="G1043" s="74" t="s">
        <v>1226</v>
      </c>
    </row>
    <row r="1044" spans="1:7" x14ac:dyDescent="0.2">
      <c r="A1044" s="39">
        <v>4661</v>
      </c>
      <c r="B1044" s="38" t="s">
        <v>303</v>
      </c>
      <c r="C1044" s="39" t="s">
        <v>509</v>
      </c>
      <c r="D1044" s="74" t="s">
        <v>1227</v>
      </c>
      <c r="E1044" s="74" t="s">
        <v>1224</v>
      </c>
      <c r="F1044" s="74" t="s">
        <v>1226</v>
      </c>
      <c r="G1044" s="74" t="s">
        <v>1226</v>
      </c>
    </row>
    <row r="1045" spans="1:7" x14ac:dyDescent="0.2">
      <c r="A1045" s="39">
        <v>4662</v>
      </c>
      <c r="B1045" s="38" t="s">
        <v>304</v>
      </c>
      <c r="C1045" s="39" t="s">
        <v>509</v>
      </c>
      <c r="D1045" s="74" t="s">
        <v>1227</v>
      </c>
      <c r="E1045" s="74" t="s">
        <v>1224</v>
      </c>
      <c r="F1045" s="74" t="s">
        <v>1226</v>
      </c>
      <c r="G1045" s="74" t="s">
        <v>1225</v>
      </c>
    </row>
    <row r="1046" spans="1:7" x14ac:dyDescent="0.2">
      <c r="A1046" s="39">
        <v>4663</v>
      </c>
      <c r="B1046" s="38" t="s">
        <v>305</v>
      </c>
      <c r="C1046" s="39" t="s">
        <v>509</v>
      </c>
      <c r="D1046" s="74" t="s">
        <v>1227</v>
      </c>
      <c r="E1046" s="74" t="s">
        <v>1224</v>
      </c>
      <c r="F1046" s="74" t="s">
        <v>1226</v>
      </c>
      <c r="G1046" s="74" t="s">
        <v>1226</v>
      </c>
    </row>
    <row r="1047" spans="1:7" x14ac:dyDescent="0.2">
      <c r="A1047" s="39">
        <v>4664</v>
      </c>
      <c r="B1047" s="38" t="s">
        <v>306</v>
      </c>
      <c r="C1047" s="39" t="s">
        <v>509</v>
      </c>
      <c r="D1047" s="74" t="s">
        <v>1227</v>
      </c>
      <c r="E1047" s="74" t="s">
        <v>1224</v>
      </c>
      <c r="F1047" s="74" t="s">
        <v>1226</v>
      </c>
      <c r="G1047" s="74" t="s">
        <v>1226</v>
      </c>
    </row>
    <row r="1048" spans="1:7" x14ac:dyDescent="0.2">
      <c r="A1048" s="39">
        <v>4671</v>
      </c>
      <c r="B1048" s="38" t="s">
        <v>307</v>
      </c>
      <c r="C1048" s="39" t="s">
        <v>509</v>
      </c>
      <c r="D1048" s="74" t="s">
        <v>1227</v>
      </c>
      <c r="E1048" s="74" t="s">
        <v>1224</v>
      </c>
      <c r="F1048" s="74" t="s">
        <v>1226</v>
      </c>
      <c r="G1048" s="74" t="s">
        <v>1225</v>
      </c>
    </row>
    <row r="1049" spans="1:7" x14ac:dyDescent="0.2">
      <c r="A1049" s="39">
        <v>4672</v>
      </c>
      <c r="B1049" s="38" t="s">
        <v>308</v>
      </c>
      <c r="C1049" s="39" t="s">
        <v>509</v>
      </c>
      <c r="D1049" s="74" t="s">
        <v>1227</v>
      </c>
      <c r="E1049" s="74" t="s">
        <v>1224</v>
      </c>
      <c r="F1049" s="74" t="s">
        <v>1226</v>
      </c>
      <c r="G1049" s="74" t="s">
        <v>1225</v>
      </c>
    </row>
    <row r="1050" spans="1:7" x14ac:dyDescent="0.2">
      <c r="A1050" s="39">
        <v>4673</v>
      </c>
      <c r="B1050" s="38" t="s">
        <v>309</v>
      </c>
      <c r="C1050" s="39" t="s">
        <v>509</v>
      </c>
      <c r="D1050" s="74" t="s">
        <v>1227</v>
      </c>
      <c r="E1050" s="74" t="s">
        <v>1224</v>
      </c>
      <c r="F1050" s="74" t="s">
        <v>1226</v>
      </c>
      <c r="G1050" s="74" t="s">
        <v>1226</v>
      </c>
    </row>
    <row r="1051" spans="1:7" x14ac:dyDescent="0.2">
      <c r="A1051" s="39">
        <v>4674</v>
      </c>
      <c r="B1051" s="38" t="s">
        <v>310</v>
      </c>
      <c r="C1051" s="39" t="s">
        <v>509</v>
      </c>
      <c r="D1051" s="74" t="s">
        <v>1227</v>
      </c>
      <c r="E1051" s="74" t="s">
        <v>1224</v>
      </c>
      <c r="F1051" s="74" t="s">
        <v>1226</v>
      </c>
      <c r="G1051" s="74" t="s">
        <v>1225</v>
      </c>
    </row>
    <row r="1052" spans="1:7" x14ac:dyDescent="0.2">
      <c r="A1052" s="39">
        <v>4675</v>
      </c>
      <c r="B1052" s="38" t="s">
        <v>311</v>
      </c>
      <c r="C1052" s="39" t="s">
        <v>509</v>
      </c>
      <c r="D1052" s="74" t="s">
        <v>1227</v>
      </c>
      <c r="E1052" s="74" t="s">
        <v>1224</v>
      </c>
      <c r="F1052" s="74" t="s">
        <v>1226</v>
      </c>
      <c r="G1052" s="74" t="s">
        <v>1226</v>
      </c>
    </row>
    <row r="1053" spans="1:7" x14ac:dyDescent="0.2">
      <c r="A1053" s="39">
        <v>4676</v>
      </c>
      <c r="B1053" s="38" t="s">
        <v>312</v>
      </c>
      <c r="C1053" s="39" t="s">
        <v>509</v>
      </c>
      <c r="D1053" s="74" t="s">
        <v>1227</v>
      </c>
      <c r="E1053" s="74" t="s">
        <v>1224</v>
      </c>
      <c r="F1053" s="74" t="s">
        <v>1226</v>
      </c>
      <c r="G1053" s="74" t="s">
        <v>1225</v>
      </c>
    </row>
    <row r="1054" spans="1:7" x14ac:dyDescent="0.2">
      <c r="A1054" s="39">
        <v>4680</v>
      </c>
      <c r="B1054" s="38" t="s">
        <v>313</v>
      </c>
      <c r="C1054" s="39" t="s">
        <v>509</v>
      </c>
      <c r="D1054" s="74" t="s">
        <v>1227</v>
      </c>
      <c r="E1054" s="74" t="s">
        <v>1224</v>
      </c>
      <c r="F1054" s="74" t="s">
        <v>1226</v>
      </c>
      <c r="G1054" s="74" t="s">
        <v>1226</v>
      </c>
    </row>
    <row r="1055" spans="1:7" x14ac:dyDescent="0.2">
      <c r="A1055" s="39">
        <v>4681</v>
      </c>
      <c r="B1055" s="38" t="s">
        <v>314</v>
      </c>
      <c r="C1055" s="39" t="s">
        <v>509</v>
      </c>
      <c r="D1055" s="74" t="s">
        <v>1227</v>
      </c>
      <c r="E1055" s="74" t="s">
        <v>1224</v>
      </c>
      <c r="F1055" s="74" t="s">
        <v>1226</v>
      </c>
      <c r="G1055" s="74" t="s">
        <v>1225</v>
      </c>
    </row>
    <row r="1056" spans="1:7" x14ac:dyDescent="0.2">
      <c r="A1056" s="39">
        <v>4682</v>
      </c>
      <c r="B1056" s="38" t="s">
        <v>315</v>
      </c>
      <c r="C1056" s="39" t="s">
        <v>509</v>
      </c>
      <c r="D1056" s="74" t="s">
        <v>1227</v>
      </c>
      <c r="E1056" s="74" t="s">
        <v>1224</v>
      </c>
      <c r="F1056" s="74" t="s">
        <v>1226</v>
      </c>
      <c r="G1056" s="74" t="s">
        <v>1225</v>
      </c>
    </row>
    <row r="1057" spans="1:7" x14ac:dyDescent="0.2">
      <c r="A1057" s="39">
        <v>4690</v>
      </c>
      <c r="B1057" s="38" t="s">
        <v>316</v>
      </c>
      <c r="C1057" s="39" t="s">
        <v>509</v>
      </c>
      <c r="D1057" s="74" t="s">
        <v>1227</v>
      </c>
      <c r="E1057" s="74" t="s">
        <v>1224</v>
      </c>
      <c r="F1057" s="74" t="s">
        <v>1226</v>
      </c>
      <c r="G1057" s="74" t="s">
        <v>1226</v>
      </c>
    </row>
    <row r="1058" spans="1:7" x14ac:dyDescent="0.2">
      <c r="A1058" s="39">
        <v>4691</v>
      </c>
      <c r="B1058" s="38" t="s">
        <v>317</v>
      </c>
      <c r="C1058" s="39" t="s">
        <v>509</v>
      </c>
      <c r="D1058" s="74" t="s">
        <v>1227</v>
      </c>
      <c r="E1058" s="74" t="s">
        <v>1224</v>
      </c>
      <c r="F1058" s="74" t="s">
        <v>1226</v>
      </c>
      <c r="G1058" s="74" t="s">
        <v>1225</v>
      </c>
    </row>
    <row r="1059" spans="1:7" x14ac:dyDescent="0.2">
      <c r="A1059" s="39">
        <v>4692</v>
      </c>
      <c r="B1059" s="38" t="s">
        <v>318</v>
      </c>
      <c r="C1059" s="39" t="s">
        <v>509</v>
      </c>
      <c r="D1059" s="74" t="s">
        <v>1227</v>
      </c>
      <c r="E1059" s="74" t="s">
        <v>1224</v>
      </c>
      <c r="F1059" s="74" t="s">
        <v>1226</v>
      </c>
      <c r="G1059" s="74" t="s">
        <v>1225</v>
      </c>
    </row>
    <row r="1060" spans="1:7" x14ac:dyDescent="0.2">
      <c r="A1060" s="39">
        <v>4693</v>
      </c>
      <c r="B1060" s="38" t="s">
        <v>319</v>
      </c>
      <c r="C1060" s="39" t="s">
        <v>509</v>
      </c>
      <c r="D1060" s="74" t="s">
        <v>1227</v>
      </c>
      <c r="E1060" s="74" t="s">
        <v>1224</v>
      </c>
      <c r="F1060" s="74" t="s">
        <v>1226</v>
      </c>
      <c r="G1060" s="74" t="s">
        <v>1225</v>
      </c>
    </row>
    <row r="1061" spans="1:7" x14ac:dyDescent="0.2">
      <c r="A1061" s="39">
        <v>4694</v>
      </c>
      <c r="B1061" s="38" t="s">
        <v>320</v>
      </c>
      <c r="C1061" s="39" t="s">
        <v>509</v>
      </c>
      <c r="D1061" s="74" t="s">
        <v>1227</v>
      </c>
      <c r="E1061" s="74" t="s">
        <v>1224</v>
      </c>
      <c r="F1061" s="74" t="s">
        <v>1226</v>
      </c>
      <c r="G1061" s="74" t="s">
        <v>1226</v>
      </c>
    </row>
    <row r="1062" spans="1:7" x14ac:dyDescent="0.2">
      <c r="A1062" s="39">
        <v>4701</v>
      </c>
      <c r="B1062" s="38" t="s">
        <v>321</v>
      </c>
      <c r="C1062" s="39" t="s">
        <v>509</v>
      </c>
      <c r="D1062" s="74" t="s">
        <v>1227</v>
      </c>
      <c r="E1062" s="74" t="s">
        <v>1224</v>
      </c>
      <c r="F1062" s="74" t="s">
        <v>1226</v>
      </c>
      <c r="G1062" s="74" t="s">
        <v>1226</v>
      </c>
    </row>
    <row r="1063" spans="1:7" x14ac:dyDescent="0.2">
      <c r="A1063" s="39">
        <v>4702</v>
      </c>
      <c r="B1063" s="38" t="s">
        <v>322</v>
      </c>
      <c r="C1063" s="39" t="s">
        <v>509</v>
      </c>
      <c r="D1063" s="74" t="s">
        <v>1227</v>
      </c>
      <c r="E1063" s="74" t="s">
        <v>1224</v>
      </c>
      <c r="F1063" s="74" t="s">
        <v>1226</v>
      </c>
      <c r="G1063" s="74" t="s">
        <v>1225</v>
      </c>
    </row>
    <row r="1064" spans="1:7" x14ac:dyDescent="0.2">
      <c r="A1064" s="39">
        <v>4707</v>
      </c>
      <c r="B1064" s="38" t="s">
        <v>323</v>
      </c>
      <c r="C1064" s="39" t="s">
        <v>509</v>
      </c>
      <c r="D1064" s="74" t="s">
        <v>1227</v>
      </c>
      <c r="E1064" s="74" t="s">
        <v>1224</v>
      </c>
      <c r="F1064" s="74" t="s">
        <v>1226</v>
      </c>
      <c r="G1064" s="74" t="s">
        <v>1225</v>
      </c>
    </row>
    <row r="1065" spans="1:7" x14ac:dyDescent="0.2">
      <c r="A1065" s="39">
        <v>4710</v>
      </c>
      <c r="B1065" s="38" t="s">
        <v>324</v>
      </c>
      <c r="C1065" s="39" t="s">
        <v>509</v>
      </c>
      <c r="D1065" s="74" t="s">
        <v>1227</v>
      </c>
      <c r="E1065" s="74" t="s">
        <v>1224</v>
      </c>
      <c r="F1065" s="74" t="s">
        <v>1226</v>
      </c>
      <c r="G1065" s="74" t="s">
        <v>1226</v>
      </c>
    </row>
    <row r="1066" spans="1:7" x14ac:dyDescent="0.2">
      <c r="A1066" s="39">
        <v>4712</v>
      </c>
      <c r="B1066" s="38" t="s">
        <v>325</v>
      </c>
      <c r="C1066" s="39" t="s">
        <v>509</v>
      </c>
      <c r="D1066" s="74" t="s">
        <v>1227</v>
      </c>
      <c r="E1066" s="74" t="s">
        <v>1224</v>
      </c>
      <c r="F1066" s="74" t="s">
        <v>1226</v>
      </c>
      <c r="G1066" s="74" t="s">
        <v>1225</v>
      </c>
    </row>
    <row r="1067" spans="1:7" x14ac:dyDescent="0.2">
      <c r="A1067" s="39">
        <v>4713</v>
      </c>
      <c r="B1067" s="38" t="s">
        <v>326</v>
      </c>
      <c r="C1067" s="39" t="s">
        <v>509</v>
      </c>
      <c r="D1067" s="74" t="s">
        <v>1227</v>
      </c>
      <c r="E1067" s="74" t="s">
        <v>1224</v>
      </c>
      <c r="F1067" s="74" t="s">
        <v>1226</v>
      </c>
      <c r="G1067" s="74" t="s">
        <v>1226</v>
      </c>
    </row>
    <row r="1068" spans="1:7" x14ac:dyDescent="0.2">
      <c r="A1068" s="39">
        <v>4714</v>
      </c>
      <c r="B1068" s="38" t="s">
        <v>327</v>
      </c>
      <c r="C1068" s="39" t="s">
        <v>509</v>
      </c>
      <c r="D1068" s="74" t="s">
        <v>1227</v>
      </c>
      <c r="E1068" s="74" t="s">
        <v>1224</v>
      </c>
      <c r="F1068" s="74" t="s">
        <v>1226</v>
      </c>
      <c r="G1068" s="74" t="s">
        <v>1225</v>
      </c>
    </row>
    <row r="1069" spans="1:7" x14ac:dyDescent="0.2">
      <c r="A1069" s="39">
        <v>4715</v>
      </c>
      <c r="B1069" s="38" t="s">
        <v>328</v>
      </c>
      <c r="C1069" s="39" t="s">
        <v>509</v>
      </c>
      <c r="D1069" s="74" t="s">
        <v>1227</v>
      </c>
      <c r="E1069" s="74" t="s">
        <v>1224</v>
      </c>
      <c r="F1069" s="74" t="s">
        <v>1226</v>
      </c>
      <c r="G1069" s="74" t="s">
        <v>1225</v>
      </c>
    </row>
    <row r="1070" spans="1:7" x14ac:dyDescent="0.2">
      <c r="A1070" s="39">
        <v>4716</v>
      </c>
      <c r="B1070" s="38" t="s">
        <v>329</v>
      </c>
      <c r="C1070" s="39" t="s">
        <v>509</v>
      </c>
      <c r="D1070" s="74" t="s">
        <v>1227</v>
      </c>
      <c r="E1070" s="74" t="s">
        <v>1224</v>
      </c>
      <c r="F1070" s="74" t="s">
        <v>1226</v>
      </c>
      <c r="G1070" s="74" t="s">
        <v>1225</v>
      </c>
    </row>
    <row r="1071" spans="1:7" x14ac:dyDescent="0.2">
      <c r="A1071" s="39">
        <v>4720</v>
      </c>
      <c r="B1071" s="38" t="s">
        <v>330</v>
      </c>
      <c r="C1071" s="39" t="s">
        <v>509</v>
      </c>
      <c r="D1071" s="74" t="s">
        <v>1227</v>
      </c>
      <c r="E1071" s="74" t="s">
        <v>1224</v>
      </c>
      <c r="F1071" s="74" t="s">
        <v>1226</v>
      </c>
      <c r="G1071" s="74" t="s">
        <v>1226</v>
      </c>
    </row>
    <row r="1072" spans="1:7" x14ac:dyDescent="0.2">
      <c r="A1072" s="39">
        <v>4721</v>
      </c>
      <c r="B1072" s="38" t="s">
        <v>331</v>
      </c>
      <c r="C1072" s="39" t="s">
        <v>509</v>
      </c>
      <c r="D1072" s="74" t="s">
        <v>1227</v>
      </c>
      <c r="E1072" s="74" t="s">
        <v>1224</v>
      </c>
      <c r="F1072" s="74" t="s">
        <v>1226</v>
      </c>
      <c r="G1072" s="74" t="s">
        <v>1225</v>
      </c>
    </row>
    <row r="1073" spans="1:7" x14ac:dyDescent="0.2">
      <c r="A1073" s="39">
        <v>4722</v>
      </c>
      <c r="B1073" s="38" t="s">
        <v>332</v>
      </c>
      <c r="C1073" s="39" t="s">
        <v>509</v>
      </c>
      <c r="D1073" s="74" t="s">
        <v>1227</v>
      </c>
      <c r="E1073" s="74" t="s">
        <v>1224</v>
      </c>
      <c r="F1073" s="74" t="s">
        <v>1226</v>
      </c>
      <c r="G1073" s="74" t="s">
        <v>1226</v>
      </c>
    </row>
    <row r="1074" spans="1:7" x14ac:dyDescent="0.2">
      <c r="A1074" s="39">
        <v>4723</v>
      </c>
      <c r="B1074" s="38" t="s">
        <v>333</v>
      </c>
      <c r="C1074" s="39" t="s">
        <v>509</v>
      </c>
      <c r="D1074" s="74" t="s">
        <v>1227</v>
      </c>
      <c r="E1074" s="74" t="s">
        <v>1224</v>
      </c>
      <c r="F1074" s="74" t="s">
        <v>1226</v>
      </c>
      <c r="G1074" s="74" t="s">
        <v>1225</v>
      </c>
    </row>
    <row r="1075" spans="1:7" x14ac:dyDescent="0.2">
      <c r="A1075" s="39">
        <v>4724</v>
      </c>
      <c r="B1075" s="38" t="s">
        <v>334</v>
      </c>
      <c r="C1075" s="39" t="s">
        <v>509</v>
      </c>
      <c r="D1075" s="74" t="s">
        <v>1227</v>
      </c>
      <c r="E1075" s="74" t="s">
        <v>1224</v>
      </c>
      <c r="F1075" s="74" t="s">
        <v>1226</v>
      </c>
      <c r="G1075" s="74" t="s">
        <v>1226</v>
      </c>
    </row>
    <row r="1076" spans="1:7" x14ac:dyDescent="0.2">
      <c r="A1076" s="39">
        <v>4725</v>
      </c>
      <c r="B1076" s="38" t="s">
        <v>335</v>
      </c>
      <c r="C1076" s="39" t="s">
        <v>509</v>
      </c>
      <c r="D1076" s="74" t="s">
        <v>1227</v>
      </c>
      <c r="E1076" s="74" t="s">
        <v>1224</v>
      </c>
      <c r="F1076" s="74" t="s">
        <v>1226</v>
      </c>
      <c r="G1076" s="74" t="s">
        <v>1225</v>
      </c>
    </row>
    <row r="1077" spans="1:7" x14ac:dyDescent="0.2">
      <c r="A1077" s="39">
        <v>4730</v>
      </c>
      <c r="B1077" s="38" t="s">
        <v>336</v>
      </c>
      <c r="C1077" s="39" t="s">
        <v>509</v>
      </c>
      <c r="D1077" s="74" t="s">
        <v>1227</v>
      </c>
      <c r="E1077" s="74" t="s">
        <v>1224</v>
      </c>
      <c r="F1077" s="74" t="s">
        <v>1226</v>
      </c>
      <c r="G1077" s="74" t="s">
        <v>1226</v>
      </c>
    </row>
    <row r="1078" spans="1:7" x14ac:dyDescent="0.2">
      <c r="A1078" s="39">
        <v>4731</v>
      </c>
      <c r="B1078" s="38" t="s">
        <v>337</v>
      </c>
      <c r="C1078" s="39" t="s">
        <v>509</v>
      </c>
      <c r="D1078" s="74" t="s">
        <v>1227</v>
      </c>
      <c r="E1078" s="74" t="s">
        <v>1224</v>
      </c>
      <c r="F1078" s="74" t="s">
        <v>1226</v>
      </c>
      <c r="G1078" s="74" t="s">
        <v>1226</v>
      </c>
    </row>
    <row r="1079" spans="1:7" x14ac:dyDescent="0.2">
      <c r="A1079" s="39">
        <v>4732</v>
      </c>
      <c r="B1079" s="38" t="s">
        <v>1661</v>
      </c>
      <c r="C1079" s="39" t="s">
        <v>509</v>
      </c>
      <c r="D1079" s="74" t="s">
        <v>1227</v>
      </c>
      <c r="E1079" s="74" t="s">
        <v>1224</v>
      </c>
      <c r="F1079" s="74" t="s">
        <v>1226</v>
      </c>
      <c r="G1079" s="74" t="s">
        <v>1225</v>
      </c>
    </row>
    <row r="1080" spans="1:7" x14ac:dyDescent="0.2">
      <c r="A1080" s="39">
        <v>4733</v>
      </c>
      <c r="B1080" s="38" t="s">
        <v>338</v>
      </c>
      <c r="C1080" s="39" t="s">
        <v>509</v>
      </c>
      <c r="D1080" s="74" t="s">
        <v>1227</v>
      </c>
      <c r="E1080" s="74" t="s">
        <v>1224</v>
      </c>
      <c r="F1080" s="74" t="s">
        <v>1226</v>
      </c>
      <c r="G1080" s="74" t="s">
        <v>1225</v>
      </c>
    </row>
    <row r="1081" spans="1:7" x14ac:dyDescent="0.2">
      <c r="A1081" s="39">
        <v>4741</v>
      </c>
      <c r="B1081" s="38" t="s">
        <v>339</v>
      </c>
      <c r="C1081" s="39" t="s">
        <v>509</v>
      </c>
      <c r="D1081" s="74" t="s">
        <v>1227</v>
      </c>
      <c r="E1081" s="74" t="s">
        <v>1224</v>
      </c>
      <c r="F1081" s="74" t="s">
        <v>1226</v>
      </c>
      <c r="G1081" s="74" t="s">
        <v>1225</v>
      </c>
    </row>
    <row r="1082" spans="1:7" x14ac:dyDescent="0.2">
      <c r="A1082" s="39">
        <v>4742</v>
      </c>
      <c r="B1082" s="38" t="s">
        <v>340</v>
      </c>
      <c r="C1082" s="39" t="s">
        <v>509</v>
      </c>
      <c r="D1082" s="74" t="s">
        <v>1227</v>
      </c>
      <c r="E1082" s="74" t="s">
        <v>1224</v>
      </c>
      <c r="F1082" s="74" t="s">
        <v>1226</v>
      </c>
      <c r="G1082" s="74" t="s">
        <v>1225</v>
      </c>
    </row>
    <row r="1083" spans="1:7" x14ac:dyDescent="0.2">
      <c r="A1083" s="39">
        <v>4743</v>
      </c>
      <c r="B1083" s="38" t="s">
        <v>341</v>
      </c>
      <c r="C1083" s="39" t="s">
        <v>509</v>
      </c>
      <c r="D1083" s="74" t="s">
        <v>1227</v>
      </c>
      <c r="E1083" s="74" t="s">
        <v>1224</v>
      </c>
      <c r="F1083" s="74" t="s">
        <v>1226</v>
      </c>
      <c r="G1083" s="74" t="s">
        <v>1225</v>
      </c>
    </row>
    <row r="1084" spans="1:7" x14ac:dyDescent="0.2">
      <c r="A1084" s="39">
        <v>4751</v>
      </c>
      <c r="B1084" s="38" t="s">
        <v>342</v>
      </c>
      <c r="C1084" s="39" t="s">
        <v>509</v>
      </c>
      <c r="D1084" s="74" t="s">
        <v>1227</v>
      </c>
      <c r="E1084" s="74" t="s">
        <v>1224</v>
      </c>
      <c r="F1084" s="74" t="s">
        <v>1226</v>
      </c>
      <c r="G1084" s="74" t="s">
        <v>1225</v>
      </c>
    </row>
    <row r="1085" spans="1:7" x14ac:dyDescent="0.2">
      <c r="A1085" s="39">
        <v>4752</v>
      </c>
      <c r="B1085" s="38" t="s">
        <v>343</v>
      </c>
      <c r="C1085" s="39" t="s">
        <v>509</v>
      </c>
      <c r="D1085" s="74" t="s">
        <v>1227</v>
      </c>
      <c r="E1085" s="74" t="s">
        <v>1224</v>
      </c>
      <c r="F1085" s="74" t="s">
        <v>1226</v>
      </c>
      <c r="G1085" s="74" t="s">
        <v>1226</v>
      </c>
    </row>
    <row r="1086" spans="1:7" x14ac:dyDescent="0.2">
      <c r="A1086" s="39">
        <v>4753</v>
      </c>
      <c r="B1086" s="38" t="s">
        <v>344</v>
      </c>
      <c r="C1086" s="39" t="s">
        <v>509</v>
      </c>
      <c r="D1086" s="74" t="s">
        <v>1227</v>
      </c>
      <c r="E1086" s="74" t="s">
        <v>1224</v>
      </c>
      <c r="F1086" s="74" t="s">
        <v>1226</v>
      </c>
      <c r="G1086" s="74" t="s">
        <v>1226</v>
      </c>
    </row>
    <row r="1087" spans="1:7" x14ac:dyDescent="0.2">
      <c r="A1087" s="39">
        <v>4754</v>
      </c>
      <c r="B1087" s="38" t="s">
        <v>345</v>
      </c>
      <c r="C1087" s="39" t="s">
        <v>509</v>
      </c>
      <c r="D1087" s="74" t="s">
        <v>1227</v>
      </c>
      <c r="E1087" s="74" t="s">
        <v>1224</v>
      </c>
      <c r="F1087" s="74" t="s">
        <v>1226</v>
      </c>
      <c r="G1087" s="74" t="s">
        <v>1225</v>
      </c>
    </row>
    <row r="1088" spans="1:7" x14ac:dyDescent="0.2">
      <c r="A1088" s="39">
        <v>4755</v>
      </c>
      <c r="B1088" s="38" t="s">
        <v>346</v>
      </c>
      <c r="C1088" s="39" t="s">
        <v>509</v>
      </c>
      <c r="D1088" s="74" t="s">
        <v>1227</v>
      </c>
      <c r="E1088" s="74" t="s">
        <v>1224</v>
      </c>
      <c r="F1088" s="74" t="s">
        <v>1226</v>
      </c>
      <c r="G1088" s="74" t="s">
        <v>1225</v>
      </c>
    </row>
    <row r="1089" spans="1:7" x14ac:dyDescent="0.2">
      <c r="A1089" s="39">
        <v>4760</v>
      </c>
      <c r="B1089" s="38" t="s">
        <v>347</v>
      </c>
      <c r="C1089" s="39" t="s">
        <v>509</v>
      </c>
      <c r="D1089" s="74" t="s">
        <v>1227</v>
      </c>
      <c r="E1089" s="74" t="s">
        <v>1224</v>
      </c>
      <c r="F1089" s="74" t="s">
        <v>1226</v>
      </c>
      <c r="G1089" s="74" t="s">
        <v>1226</v>
      </c>
    </row>
    <row r="1090" spans="1:7" x14ac:dyDescent="0.2">
      <c r="A1090" s="39">
        <v>4761</v>
      </c>
      <c r="B1090" s="38" t="s">
        <v>348</v>
      </c>
      <c r="C1090" s="39" t="s">
        <v>509</v>
      </c>
      <c r="D1090" s="74" t="s">
        <v>1227</v>
      </c>
      <c r="E1090" s="74" t="s">
        <v>1224</v>
      </c>
      <c r="F1090" s="74" t="s">
        <v>1226</v>
      </c>
      <c r="G1090" s="74" t="s">
        <v>1225</v>
      </c>
    </row>
    <row r="1091" spans="1:7" x14ac:dyDescent="0.2">
      <c r="A1091" s="39">
        <v>4762</v>
      </c>
      <c r="B1091" s="38" t="s">
        <v>349</v>
      </c>
      <c r="C1091" s="39" t="s">
        <v>509</v>
      </c>
      <c r="D1091" s="74" t="s">
        <v>1227</v>
      </c>
      <c r="E1091" s="74" t="s">
        <v>1224</v>
      </c>
      <c r="F1091" s="74" t="s">
        <v>1226</v>
      </c>
      <c r="G1091" s="74" t="s">
        <v>1225</v>
      </c>
    </row>
    <row r="1092" spans="1:7" x14ac:dyDescent="0.2">
      <c r="A1092" s="39">
        <v>4770</v>
      </c>
      <c r="B1092" s="38" t="s">
        <v>350</v>
      </c>
      <c r="C1092" s="39" t="s">
        <v>509</v>
      </c>
      <c r="D1092" s="74" t="s">
        <v>1227</v>
      </c>
      <c r="E1092" s="74" t="s">
        <v>1224</v>
      </c>
      <c r="F1092" s="74" t="s">
        <v>1226</v>
      </c>
      <c r="G1092" s="74" t="s">
        <v>1226</v>
      </c>
    </row>
    <row r="1093" spans="1:7" x14ac:dyDescent="0.2">
      <c r="A1093" s="39">
        <v>4771</v>
      </c>
      <c r="B1093" s="38" t="s">
        <v>351</v>
      </c>
      <c r="C1093" s="39" t="s">
        <v>509</v>
      </c>
      <c r="D1093" s="74" t="s">
        <v>1227</v>
      </c>
      <c r="E1093" s="74" t="s">
        <v>1224</v>
      </c>
      <c r="F1093" s="74" t="s">
        <v>1226</v>
      </c>
      <c r="G1093" s="74" t="s">
        <v>1225</v>
      </c>
    </row>
    <row r="1094" spans="1:7" x14ac:dyDescent="0.2">
      <c r="A1094" s="39">
        <v>4772</v>
      </c>
      <c r="B1094" s="38" t="s">
        <v>352</v>
      </c>
      <c r="C1094" s="39" t="s">
        <v>509</v>
      </c>
      <c r="D1094" s="74" t="s">
        <v>1227</v>
      </c>
      <c r="E1094" s="74" t="s">
        <v>1224</v>
      </c>
      <c r="F1094" s="74" t="s">
        <v>1226</v>
      </c>
      <c r="G1094" s="74" t="s">
        <v>1225</v>
      </c>
    </row>
    <row r="1095" spans="1:7" x14ac:dyDescent="0.2">
      <c r="A1095" s="39">
        <v>4773</v>
      </c>
      <c r="B1095" s="38" t="s">
        <v>353</v>
      </c>
      <c r="C1095" s="39" t="s">
        <v>509</v>
      </c>
      <c r="D1095" s="74" t="s">
        <v>1227</v>
      </c>
      <c r="E1095" s="74" t="s">
        <v>1224</v>
      </c>
      <c r="F1095" s="74" t="s">
        <v>1226</v>
      </c>
      <c r="G1095" s="74" t="s">
        <v>1225</v>
      </c>
    </row>
    <row r="1096" spans="1:7" x14ac:dyDescent="0.2">
      <c r="A1096" s="39">
        <v>4774</v>
      </c>
      <c r="B1096" s="38" t="s">
        <v>354</v>
      </c>
      <c r="C1096" s="39" t="s">
        <v>509</v>
      </c>
      <c r="D1096" s="74" t="s">
        <v>1227</v>
      </c>
      <c r="E1096" s="74" t="s">
        <v>1224</v>
      </c>
      <c r="F1096" s="74" t="s">
        <v>1226</v>
      </c>
      <c r="G1096" s="74" t="s">
        <v>1225</v>
      </c>
    </row>
    <row r="1097" spans="1:7" x14ac:dyDescent="0.2">
      <c r="A1097" s="39">
        <v>4775</v>
      </c>
      <c r="B1097" s="38" t="s">
        <v>355</v>
      </c>
      <c r="C1097" s="39" t="s">
        <v>509</v>
      </c>
      <c r="D1097" s="74" t="s">
        <v>1227</v>
      </c>
      <c r="E1097" s="74" t="s">
        <v>1224</v>
      </c>
      <c r="F1097" s="74" t="s">
        <v>1226</v>
      </c>
      <c r="G1097" s="74" t="s">
        <v>1226</v>
      </c>
    </row>
    <row r="1098" spans="1:7" x14ac:dyDescent="0.2">
      <c r="A1098" s="39">
        <v>4776</v>
      </c>
      <c r="B1098" s="38" t="s">
        <v>356</v>
      </c>
      <c r="C1098" s="39" t="s">
        <v>509</v>
      </c>
      <c r="D1098" s="74" t="s">
        <v>1227</v>
      </c>
      <c r="E1098" s="74" t="s">
        <v>1224</v>
      </c>
      <c r="F1098" s="74" t="s">
        <v>1226</v>
      </c>
      <c r="G1098" s="74" t="s">
        <v>1225</v>
      </c>
    </row>
    <row r="1099" spans="1:7" x14ac:dyDescent="0.2">
      <c r="A1099" s="39">
        <v>4777</v>
      </c>
      <c r="B1099" s="38" t="s">
        <v>357</v>
      </c>
      <c r="C1099" s="39" t="s">
        <v>509</v>
      </c>
      <c r="D1099" s="74" t="s">
        <v>1227</v>
      </c>
      <c r="E1099" s="74" t="s">
        <v>1224</v>
      </c>
      <c r="F1099" s="74" t="s">
        <v>1226</v>
      </c>
      <c r="G1099" s="74" t="s">
        <v>1225</v>
      </c>
    </row>
    <row r="1100" spans="1:7" x14ac:dyDescent="0.2">
      <c r="A1100" s="39">
        <v>4780</v>
      </c>
      <c r="B1100" s="38" t="s">
        <v>358</v>
      </c>
      <c r="C1100" s="39" t="s">
        <v>509</v>
      </c>
      <c r="D1100" s="74" t="s">
        <v>1227</v>
      </c>
      <c r="E1100" s="74" t="s">
        <v>1224</v>
      </c>
      <c r="F1100" s="74" t="s">
        <v>1226</v>
      </c>
      <c r="G1100" s="74" t="s">
        <v>1226</v>
      </c>
    </row>
    <row r="1101" spans="1:7" x14ac:dyDescent="0.2">
      <c r="A1101" s="39">
        <v>4782</v>
      </c>
      <c r="B1101" s="38" t="s">
        <v>359</v>
      </c>
      <c r="C1101" s="39" t="s">
        <v>509</v>
      </c>
      <c r="D1101" s="74" t="s">
        <v>1227</v>
      </c>
      <c r="E1101" s="74" t="s">
        <v>1224</v>
      </c>
      <c r="F1101" s="74" t="s">
        <v>1226</v>
      </c>
      <c r="G1101" s="74" t="s">
        <v>1225</v>
      </c>
    </row>
    <row r="1102" spans="1:7" x14ac:dyDescent="0.2">
      <c r="A1102" s="39">
        <v>4783</v>
      </c>
      <c r="B1102" s="38" t="s">
        <v>360</v>
      </c>
      <c r="C1102" s="39" t="s">
        <v>509</v>
      </c>
      <c r="D1102" s="74" t="s">
        <v>1227</v>
      </c>
      <c r="E1102" s="74" t="s">
        <v>1224</v>
      </c>
      <c r="F1102" s="74" t="s">
        <v>1226</v>
      </c>
      <c r="G1102" s="74" t="s">
        <v>1225</v>
      </c>
    </row>
    <row r="1103" spans="1:7" x14ac:dyDescent="0.2">
      <c r="A1103" s="39">
        <v>4784</v>
      </c>
      <c r="B1103" s="38" t="s">
        <v>361</v>
      </c>
      <c r="C1103" s="39" t="s">
        <v>509</v>
      </c>
      <c r="D1103" s="74" t="s">
        <v>1227</v>
      </c>
      <c r="E1103" s="74" t="s">
        <v>1224</v>
      </c>
      <c r="F1103" s="74" t="s">
        <v>1226</v>
      </c>
      <c r="G1103" s="74" t="s">
        <v>1226</v>
      </c>
    </row>
    <row r="1104" spans="1:7" x14ac:dyDescent="0.2">
      <c r="A1104" s="39">
        <v>4785</v>
      </c>
      <c r="B1104" s="38" t="s">
        <v>362</v>
      </c>
      <c r="C1104" s="39" t="s">
        <v>509</v>
      </c>
      <c r="D1104" s="74" t="s">
        <v>1227</v>
      </c>
      <c r="E1104" s="74" t="s">
        <v>1224</v>
      </c>
      <c r="F1104" s="74" t="s">
        <v>1226</v>
      </c>
      <c r="G1104" s="74" t="s">
        <v>1225</v>
      </c>
    </row>
    <row r="1105" spans="1:7" x14ac:dyDescent="0.2">
      <c r="A1105" s="39">
        <v>4786</v>
      </c>
      <c r="B1105" s="38" t="s">
        <v>363</v>
      </c>
      <c r="C1105" s="39" t="s">
        <v>509</v>
      </c>
      <c r="D1105" s="74" t="s">
        <v>1227</v>
      </c>
      <c r="E1105" s="74" t="s">
        <v>1224</v>
      </c>
      <c r="F1105" s="74" t="s">
        <v>1226</v>
      </c>
      <c r="G1105" s="74" t="s">
        <v>1225</v>
      </c>
    </row>
    <row r="1106" spans="1:7" x14ac:dyDescent="0.2">
      <c r="A1106" s="39">
        <v>4791</v>
      </c>
      <c r="B1106" s="38" t="s">
        <v>364</v>
      </c>
      <c r="C1106" s="39" t="s">
        <v>509</v>
      </c>
      <c r="D1106" s="74" t="s">
        <v>1227</v>
      </c>
      <c r="E1106" s="74" t="s">
        <v>1224</v>
      </c>
      <c r="F1106" s="74" t="s">
        <v>1226</v>
      </c>
      <c r="G1106" s="74" t="s">
        <v>1226</v>
      </c>
    </row>
    <row r="1107" spans="1:7" x14ac:dyDescent="0.2">
      <c r="A1107" s="39">
        <v>4792</v>
      </c>
      <c r="B1107" s="38" t="s">
        <v>365</v>
      </c>
      <c r="C1107" s="39" t="s">
        <v>509</v>
      </c>
      <c r="D1107" s="74" t="s">
        <v>1227</v>
      </c>
      <c r="E1107" s="74" t="s">
        <v>1224</v>
      </c>
      <c r="F1107" s="74" t="s">
        <v>1226</v>
      </c>
      <c r="G1107" s="74" t="s">
        <v>1226</v>
      </c>
    </row>
    <row r="1108" spans="1:7" x14ac:dyDescent="0.2">
      <c r="A1108" s="39">
        <v>4793</v>
      </c>
      <c r="B1108" s="38" t="s">
        <v>366</v>
      </c>
      <c r="C1108" s="39" t="s">
        <v>509</v>
      </c>
      <c r="D1108" s="74" t="s">
        <v>1227</v>
      </c>
      <c r="E1108" s="74" t="s">
        <v>1224</v>
      </c>
      <c r="F1108" s="74" t="s">
        <v>1226</v>
      </c>
      <c r="G1108" s="74" t="s">
        <v>1225</v>
      </c>
    </row>
    <row r="1109" spans="1:7" x14ac:dyDescent="0.2">
      <c r="A1109" s="39">
        <v>4794</v>
      </c>
      <c r="B1109" s="38" t="s">
        <v>367</v>
      </c>
      <c r="C1109" s="39" t="s">
        <v>509</v>
      </c>
      <c r="D1109" s="74" t="s">
        <v>1227</v>
      </c>
      <c r="E1109" s="74" t="s">
        <v>1224</v>
      </c>
      <c r="F1109" s="74" t="s">
        <v>1226</v>
      </c>
      <c r="G1109" s="74" t="s">
        <v>1225</v>
      </c>
    </row>
    <row r="1110" spans="1:7" x14ac:dyDescent="0.2">
      <c r="A1110" s="39">
        <v>4800</v>
      </c>
      <c r="B1110" s="38" t="s">
        <v>368</v>
      </c>
      <c r="C1110" s="39" t="s">
        <v>509</v>
      </c>
      <c r="D1110" s="74" t="s">
        <v>1227</v>
      </c>
      <c r="E1110" s="74" t="s">
        <v>1224</v>
      </c>
      <c r="F1110" s="74" t="s">
        <v>1226</v>
      </c>
      <c r="G1110" s="74" t="s">
        <v>1226</v>
      </c>
    </row>
    <row r="1111" spans="1:7" x14ac:dyDescent="0.2">
      <c r="A1111" s="39">
        <v>4801</v>
      </c>
      <c r="B1111" s="38" t="s">
        <v>369</v>
      </c>
      <c r="C1111" s="39" t="s">
        <v>509</v>
      </c>
      <c r="D1111" s="74" t="s">
        <v>1227</v>
      </c>
      <c r="E1111" s="74" t="s">
        <v>1224</v>
      </c>
      <c r="F1111" s="74" t="s">
        <v>1226</v>
      </c>
      <c r="G1111" s="74" t="s">
        <v>1225</v>
      </c>
    </row>
    <row r="1112" spans="1:7" x14ac:dyDescent="0.2">
      <c r="A1112" s="39">
        <v>4802</v>
      </c>
      <c r="B1112" s="38" t="s">
        <v>370</v>
      </c>
      <c r="C1112" s="39" t="s">
        <v>509</v>
      </c>
      <c r="D1112" s="74" t="s">
        <v>1227</v>
      </c>
      <c r="E1112" s="74" t="s">
        <v>1224</v>
      </c>
      <c r="F1112" s="74" t="s">
        <v>1226</v>
      </c>
      <c r="G1112" s="74" t="s">
        <v>1226</v>
      </c>
    </row>
    <row r="1113" spans="1:7" x14ac:dyDescent="0.2">
      <c r="A1113" s="39">
        <v>4810</v>
      </c>
      <c r="B1113" s="38" t="s">
        <v>157</v>
      </c>
      <c r="C1113" s="39" t="s">
        <v>509</v>
      </c>
      <c r="D1113" s="74" t="s">
        <v>1227</v>
      </c>
      <c r="E1113" s="74" t="s">
        <v>1224</v>
      </c>
      <c r="F1113" s="74" t="s">
        <v>1226</v>
      </c>
      <c r="G1113" s="74" t="s">
        <v>1226</v>
      </c>
    </row>
    <row r="1114" spans="1:7" x14ac:dyDescent="0.2">
      <c r="A1114" s="39">
        <v>4812</v>
      </c>
      <c r="B1114" s="38" t="s">
        <v>371</v>
      </c>
      <c r="C1114" s="39" t="s">
        <v>509</v>
      </c>
      <c r="D1114" s="74" t="s">
        <v>1227</v>
      </c>
      <c r="E1114" s="74" t="s">
        <v>1224</v>
      </c>
      <c r="F1114" s="74" t="s">
        <v>1226</v>
      </c>
      <c r="G1114" s="74" t="s">
        <v>1226</v>
      </c>
    </row>
    <row r="1115" spans="1:7" x14ac:dyDescent="0.2">
      <c r="A1115" s="39">
        <v>4813</v>
      </c>
      <c r="B1115" s="38" t="s">
        <v>372</v>
      </c>
      <c r="C1115" s="39" t="s">
        <v>509</v>
      </c>
      <c r="D1115" s="74" t="s">
        <v>1227</v>
      </c>
      <c r="E1115" s="74" t="s">
        <v>1224</v>
      </c>
      <c r="F1115" s="74" t="s">
        <v>1226</v>
      </c>
      <c r="G1115" s="74" t="s">
        <v>1226</v>
      </c>
    </row>
    <row r="1116" spans="1:7" x14ac:dyDescent="0.2">
      <c r="A1116" s="39">
        <v>4814</v>
      </c>
      <c r="B1116" s="38" t="s">
        <v>373</v>
      </c>
      <c r="C1116" s="39" t="s">
        <v>509</v>
      </c>
      <c r="D1116" s="74" t="s">
        <v>1227</v>
      </c>
      <c r="E1116" s="74" t="s">
        <v>1224</v>
      </c>
      <c r="F1116" s="74" t="s">
        <v>1226</v>
      </c>
      <c r="G1116" s="74" t="s">
        <v>1226</v>
      </c>
    </row>
    <row r="1117" spans="1:7" x14ac:dyDescent="0.2">
      <c r="A1117" s="39">
        <v>4815</v>
      </c>
      <c r="B1117" s="38" t="s">
        <v>374</v>
      </c>
      <c r="C1117" s="39" t="s">
        <v>509</v>
      </c>
      <c r="D1117" s="74" t="s">
        <v>1229</v>
      </c>
      <c r="E1117" s="74" t="s">
        <v>1224</v>
      </c>
      <c r="F1117" s="74" t="s">
        <v>1225</v>
      </c>
      <c r="G1117" s="74" t="s">
        <v>1226</v>
      </c>
    </row>
    <row r="1118" spans="1:7" x14ac:dyDescent="0.2">
      <c r="A1118" s="39">
        <v>4816</v>
      </c>
      <c r="B1118" s="38" t="s">
        <v>375</v>
      </c>
      <c r="C1118" s="39" t="s">
        <v>509</v>
      </c>
      <c r="D1118" s="74" t="s">
        <v>1227</v>
      </c>
      <c r="E1118" s="74" t="s">
        <v>1224</v>
      </c>
      <c r="F1118" s="74" t="s">
        <v>1226</v>
      </c>
      <c r="G1118" s="74" t="s">
        <v>1226</v>
      </c>
    </row>
    <row r="1119" spans="1:7" x14ac:dyDescent="0.2">
      <c r="A1119" s="39">
        <v>4817</v>
      </c>
      <c r="B1119" s="38" t="s">
        <v>376</v>
      </c>
      <c r="C1119" s="39" t="s">
        <v>509</v>
      </c>
      <c r="D1119" s="74" t="s">
        <v>1227</v>
      </c>
      <c r="E1119" s="74" t="s">
        <v>1224</v>
      </c>
      <c r="F1119" s="74" t="s">
        <v>1226</v>
      </c>
      <c r="G1119" s="74" t="s">
        <v>1225</v>
      </c>
    </row>
    <row r="1120" spans="1:7" x14ac:dyDescent="0.2">
      <c r="A1120" s="39">
        <v>4819</v>
      </c>
      <c r="B1120" s="38" t="s">
        <v>157</v>
      </c>
      <c r="C1120" s="39" t="s">
        <v>509</v>
      </c>
      <c r="D1120" s="74" t="s">
        <v>1229</v>
      </c>
      <c r="E1120" s="74" t="s">
        <v>1224</v>
      </c>
      <c r="F1120" s="74" t="s">
        <v>1225</v>
      </c>
      <c r="G1120" s="74" t="s">
        <v>1226</v>
      </c>
    </row>
    <row r="1121" spans="1:7" x14ac:dyDescent="0.2">
      <c r="A1121" s="39">
        <v>4820</v>
      </c>
      <c r="B1121" s="38" t="s">
        <v>120</v>
      </c>
      <c r="C1121" s="39" t="s">
        <v>509</v>
      </c>
      <c r="D1121" s="74" t="s">
        <v>1227</v>
      </c>
      <c r="E1121" s="74" t="s">
        <v>1224</v>
      </c>
      <c r="F1121" s="74" t="s">
        <v>1226</v>
      </c>
      <c r="G1121" s="74" t="s">
        <v>1226</v>
      </c>
    </row>
    <row r="1122" spans="1:7" x14ac:dyDescent="0.2">
      <c r="A1122" s="39">
        <v>4821</v>
      </c>
      <c r="B1122" s="38" t="s">
        <v>377</v>
      </c>
      <c r="C1122" s="39" t="s">
        <v>509</v>
      </c>
      <c r="D1122" s="74" t="s">
        <v>1227</v>
      </c>
      <c r="E1122" s="74" t="s">
        <v>1224</v>
      </c>
      <c r="F1122" s="74" t="s">
        <v>1226</v>
      </c>
      <c r="G1122" s="74" t="s">
        <v>1225</v>
      </c>
    </row>
    <row r="1123" spans="1:7" x14ac:dyDescent="0.2">
      <c r="A1123" s="39">
        <v>4822</v>
      </c>
      <c r="B1123" s="38" t="s">
        <v>378</v>
      </c>
      <c r="C1123" s="39" t="s">
        <v>509</v>
      </c>
      <c r="D1123" s="74" t="s">
        <v>1227</v>
      </c>
      <c r="E1123" s="74" t="s">
        <v>1224</v>
      </c>
      <c r="F1123" s="74" t="s">
        <v>1226</v>
      </c>
      <c r="G1123" s="74" t="s">
        <v>1226</v>
      </c>
    </row>
    <row r="1124" spans="1:7" x14ac:dyDescent="0.2">
      <c r="A1124" s="39">
        <v>4823</v>
      </c>
      <c r="B1124" s="38" t="s">
        <v>379</v>
      </c>
      <c r="C1124" s="39" t="s">
        <v>509</v>
      </c>
      <c r="D1124" s="74" t="s">
        <v>1227</v>
      </c>
      <c r="E1124" s="74" t="s">
        <v>1224</v>
      </c>
      <c r="F1124" s="74" t="s">
        <v>1226</v>
      </c>
      <c r="G1124" s="74" t="s">
        <v>1225</v>
      </c>
    </row>
    <row r="1125" spans="1:7" x14ac:dyDescent="0.2">
      <c r="A1125" s="39">
        <v>4824</v>
      </c>
      <c r="B1125" s="38" t="s">
        <v>380</v>
      </c>
      <c r="C1125" s="39" t="s">
        <v>509</v>
      </c>
      <c r="D1125" s="74" t="s">
        <v>1227</v>
      </c>
      <c r="E1125" s="74" t="s">
        <v>1224</v>
      </c>
      <c r="F1125" s="74" t="s">
        <v>1226</v>
      </c>
      <c r="G1125" s="74" t="s">
        <v>1226</v>
      </c>
    </row>
    <row r="1126" spans="1:7" x14ac:dyDescent="0.2">
      <c r="A1126" s="39">
        <v>4825</v>
      </c>
      <c r="B1126" s="38" t="s">
        <v>381</v>
      </c>
      <c r="C1126" s="39" t="s">
        <v>509</v>
      </c>
      <c r="D1126" s="74" t="s">
        <v>1227</v>
      </c>
      <c r="E1126" s="74" t="s">
        <v>1224</v>
      </c>
      <c r="F1126" s="74" t="s">
        <v>1226</v>
      </c>
      <c r="G1126" s="74" t="s">
        <v>1225</v>
      </c>
    </row>
    <row r="1127" spans="1:7" x14ac:dyDescent="0.2">
      <c r="A1127" s="39">
        <v>4829</v>
      </c>
      <c r="B1127" s="38" t="s">
        <v>120</v>
      </c>
      <c r="C1127" s="39" t="s">
        <v>509</v>
      </c>
      <c r="D1127" s="74" t="s">
        <v>1229</v>
      </c>
      <c r="E1127" s="74" t="s">
        <v>1224</v>
      </c>
      <c r="F1127" s="74" t="s">
        <v>1225</v>
      </c>
      <c r="G1127" s="74" t="s">
        <v>1226</v>
      </c>
    </row>
    <row r="1128" spans="1:7" x14ac:dyDescent="0.2">
      <c r="A1128" s="39">
        <v>4830</v>
      </c>
      <c r="B1128" s="38" t="s">
        <v>382</v>
      </c>
      <c r="C1128" s="39" t="s">
        <v>509</v>
      </c>
      <c r="D1128" s="74" t="s">
        <v>1227</v>
      </c>
      <c r="E1128" s="74" t="s">
        <v>1224</v>
      </c>
      <c r="F1128" s="74" t="s">
        <v>1226</v>
      </c>
      <c r="G1128" s="74" t="s">
        <v>1225</v>
      </c>
    </row>
    <row r="1129" spans="1:7" x14ac:dyDescent="0.2">
      <c r="A1129" s="39">
        <v>4831</v>
      </c>
      <c r="B1129" s="38" t="s">
        <v>383</v>
      </c>
      <c r="C1129" s="39" t="s">
        <v>509</v>
      </c>
      <c r="D1129" s="74" t="s">
        <v>1227</v>
      </c>
      <c r="E1129" s="74" t="s">
        <v>1224</v>
      </c>
      <c r="F1129" s="74" t="s">
        <v>1226</v>
      </c>
      <c r="G1129" s="74" t="s">
        <v>1225</v>
      </c>
    </row>
    <row r="1130" spans="1:7" x14ac:dyDescent="0.2">
      <c r="A1130" s="39">
        <v>4840</v>
      </c>
      <c r="B1130" s="38" t="s">
        <v>384</v>
      </c>
      <c r="C1130" s="39" t="s">
        <v>509</v>
      </c>
      <c r="D1130" s="74" t="s">
        <v>1227</v>
      </c>
      <c r="E1130" s="74" t="s">
        <v>1224</v>
      </c>
      <c r="F1130" s="74" t="s">
        <v>1226</v>
      </c>
      <c r="G1130" s="74" t="s">
        <v>1226</v>
      </c>
    </row>
    <row r="1131" spans="1:7" x14ac:dyDescent="0.2">
      <c r="A1131" s="39">
        <v>4841</v>
      </c>
      <c r="B1131" s="38" t="s">
        <v>385</v>
      </c>
      <c r="C1131" s="39" t="s">
        <v>509</v>
      </c>
      <c r="D1131" s="74" t="s">
        <v>1227</v>
      </c>
      <c r="E1131" s="74" t="s">
        <v>1224</v>
      </c>
      <c r="F1131" s="74" t="s">
        <v>1226</v>
      </c>
      <c r="G1131" s="74" t="s">
        <v>1225</v>
      </c>
    </row>
    <row r="1132" spans="1:7" x14ac:dyDescent="0.2">
      <c r="A1132" s="39">
        <v>4842</v>
      </c>
      <c r="B1132" s="38" t="s">
        <v>386</v>
      </c>
      <c r="C1132" s="39" t="s">
        <v>509</v>
      </c>
      <c r="D1132" s="74" t="s">
        <v>1227</v>
      </c>
      <c r="E1132" s="74" t="s">
        <v>1224</v>
      </c>
      <c r="F1132" s="74" t="s">
        <v>1226</v>
      </c>
      <c r="G1132" s="74" t="s">
        <v>1225</v>
      </c>
    </row>
    <row r="1133" spans="1:7" x14ac:dyDescent="0.2">
      <c r="A1133" s="39">
        <v>4843</v>
      </c>
      <c r="B1133" s="38" t="s">
        <v>387</v>
      </c>
      <c r="C1133" s="39" t="s">
        <v>509</v>
      </c>
      <c r="D1133" s="74" t="s">
        <v>1227</v>
      </c>
      <c r="E1133" s="74" t="s">
        <v>1224</v>
      </c>
      <c r="F1133" s="74" t="s">
        <v>1226</v>
      </c>
      <c r="G1133" s="74" t="s">
        <v>1226</v>
      </c>
    </row>
    <row r="1134" spans="1:7" x14ac:dyDescent="0.2">
      <c r="A1134" s="39">
        <v>4844</v>
      </c>
      <c r="B1134" s="38" t="s">
        <v>388</v>
      </c>
      <c r="C1134" s="39" t="s">
        <v>509</v>
      </c>
      <c r="D1134" s="74" t="s">
        <v>1227</v>
      </c>
      <c r="E1134" s="74" t="s">
        <v>1224</v>
      </c>
      <c r="F1134" s="74" t="s">
        <v>1226</v>
      </c>
      <c r="G1134" s="74" t="s">
        <v>1226</v>
      </c>
    </row>
    <row r="1135" spans="1:7" x14ac:dyDescent="0.2">
      <c r="A1135" s="39">
        <v>4845</v>
      </c>
      <c r="B1135" s="38" t="s">
        <v>389</v>
      </c>
      <c r="C1135" s="39" t="s">
        <v>509</v>
      </c>
      <c r="D1135" s="74" t="s">
        <v>1227</v>
      </c>
      <c r="E1135" s="74" t="s">
        <v>1224</v>
      </c>
      <c r="F1135" s="74" t="s">
        <v>1226</v>
      </c>
      <c r="G1135" s="74" t="s">
        <v>1225</v>
      </c>
    </row>
    <row r="1136" spans="1:7" x14ac:dyDescent="0.2">
      <c r="A1136" s="39">
        <v>4850</v>
      </c>
      <c r="B1136" s="38" t="s">
        <v>390</v>
      </c>
      <c r="C1136" s="39" t="s">
        <v>509</v>
      </c>
      <c r="D1136" s="74" t="s">
        <v>1227</v>
      </c>
      <c r="E1136" s="74" t="s">
        <v>1224</v>
      </c>
      <c r="F1136" s="74" t="s">
        <v>1226</v>
      </c>
      <c r="G1136" s="74" t="s">
        <v>1226</v>
      </c>
    </row>
    <row r="1137" spans="1:7" x14ac:dyDescent="0.2">
      <c r="A1137" s="39">
        <v>4851</v>
      </c>
      <c r="B1137" s="38" t="s">
        <v>391</v>
      </c>
      <c r="C1137" s="39" t="s">
        <v>509</v>
      </c>
      <c r="D1137" s="74" t="s">
        <v>1227</v>
      </c>
      <c r="E1137" s="74" t="s">
        <v>1224</v>
      </c>
      <c r="F1137" s="74" t="s">
        <v>1226</v>
      </c>
      <c r="G1137" s="74" t="s">
        <v>1225</v>
      </c>
    </row>
    <row r="1138" spans="1:7" x14ac:dyDescent="0.2">
      <c r="A1138" s="39">
        <v>4852</v>
      </c>
      <c r="B1138" s="38" t="s">
        <v>392</v>
      </c>
      <c r="C1138" s="39" t="s">
        <v>509</v>
      </c>
      <c r="D1138" s="74" t="s">
        <v>1227</v>
      </c>
      <c r="E1138" s="74" t="s">
        <v>1224</v>
      </c>
      <c r="F1138" s="74" t="s">
        <v>1226</v>
      </c>
      <c r="G1138" s="74" t="s">
        <v>1225</v>
      </c>
    </row>
    <row r="1139" spans="1:7" x14ac:dyDescent="0.2">
      <c r="A1139" s="39">
        <v>4853</v>
      </c>
      <c r="B1139" s="38" t="s">
        <v>393</v>
      </c>
      <c r="C1139" s="39" t="s">
        <v>509</v>
      </c>
      <c r="D1139" s="74" t="s">
        <v>1227</v>
      </c>
      <c r="E1139" s="74" t="s">
        <v>1224</v>
      </c>
      <c r="F1139" s="74" t="s">
        <v>1226</v>
      </c>
      <c r="G1139" s="74" t="s">
        <v>1226</v>
      </c>
    </row>
    <row r="1140" spans="1:7" x14ac:dyDescent="0.2">
      <c r="A1140" s="39">
        <v>4854</v>
      </c>
      <c r="B1140" s="38" t="s">
        <v>394</v>
      </c>
      <c r="C1140" s="39" t="s">
        <v>509</v>
      </c>
      <c r="D1140" s="74" t="s">
        <v>1227</v>
      </c>
      <c r="E1140" s="74" t="s">
        <v>1224</v>
      </c>
      <c r="F1140" s="74" t="s">
        <v>1226</v>
      </c>
      <c r="G1140" s="74" t="s">
        <v>1225</v>
      </c>
    </row>
    <row r="1141" spans="1:7" x14ac:dyDescent="0.2">
      <c r="A1141" s="39">
        <v>4860</v>
      </c>
      <c r="B1141" s="38" t="s">
        <v>395</v>
      </c>
      <c r="C1141" s="39" t="s">
        <v>509</v>
      </c>
      <c r="D1141" s="74" t="s">
        <v>1227</v>
      </c>
      <c r="E1141" s="74" t="s">
        <v>1224</v>
      </c>
      <c r="F1141" s="74" t="s">
        <v>1226</v>
      </c>
      <c r="G1141" s="74" t="s">
        <v>1226</v>
      </c>
    </row>
    <row r="1142" spans="1:7" x14ac:dyDescent="0.2">
      <c r="A1142" s="39">
        <v>4861</v>
      </c>
      <c r="B1142" s="38" t="s">
        <v>396</v>
      </c>
      <c r="C1142" s="39" t="s">
        <v>509</v>
      </c>
      <c r="D1142" s="74" t="s">
        <v>1227</v>
      </c>
      <c r="E1142" s="74" t="s">
        <v>1224</v>
      </c>
      <c r="F1142" s="74" t="s">
        <v>1226</v>
      </c>
      <c r="G1142" s="74" t="s">
        <v>1226</v>
      </c>
    </row>
    <row r="1143" spans="1:7" x14ac:dyDescent="0.2">
      <c r="A1143" s="39">
        <v>4863</v>
      </c>
      <c r="B1143" s="38" t="s">
        <v>397</v>
      </c>
      <c r="C1143" s="39" t="s">
        <v>509</v>
      </c>
      <c r="D1143" s="74" t="s">
        <v>1227</v>
      </c>
      <c r="E1143" s="74" t="s">
        <v>1224</v>
      </c>
      <c r="F1143" s="74" t="s">
        <v>1226</v>
      </c>
      <c r="G1143" s="74" t="s">
        <v>1226</v>
      </c>
    </row>
    <row r="1144" spans="1:7" x14ac:dyDescent="0.2">
      <c r="A1144" s="39">
        <v>4864</v>
      </c>
      <c r="B1144" s="38" t="s">
        <v>398</v>
      </c>
      <c r="C1144" s="39" t="s">
        <v>509</v>
      </c>
      <c r="D1144" s="74" t="s">
        <v>1227</v>
      </c>
      <c r="E1144" s="74" t="s">
        <v>1224</v>
      </c>
      <c r="F1144" s="74" t="s">
        <v>1226</v>
      </c>
      <c r="G1144" s="74" t="s">
        <v>1225</v>
      </c>
    </row>
    <row r="1145" spans="1:7" x14ac:dyDescent="0.2">
      <c r="A1145" s="39">
        <v>4865</v>
      </c>
      <c r="B1145" s="38" t="s">
        <v>399</v>
      </c>
      <c r="C1145" s="39" t="s">
        <v>509</v>
      </c>
      <c r="D1145" s="74" t="s">
        <v>1227</v>
      </c>
      <c r="E1145" s="74" t="s">
        <v>1224</v>
      </c>
      <c r="F1145" s="74" t="s">
        <v>1226</v>
      </c>
      <c r="G1145" s="74" t="s">
        <v>1226</v>
      </c>
    </row>
    <row r="1146" spans="1:7" x14ac:dyDescent="0.2">
      <c r="A1146" s="39">
        <v>4866</v>
      </c>
      <c r="B1146" s="38" t="s">
        <v>400</v>
      </c>
      <c r="C1146" s="39" t="s">
        <v>509</v>
      </c>
      <c r="D1146" s="74" t="s">
        <v>1227</v>
      </c>
      <c r="E1146" s="74" t="s">
        <v>1224</v>
      </c>
      <c r="F1146" s="74" t="s">
        <v>1226</v>
      </c>
      <c r="G1146" s="74" t="s">
        <v>1226</v>
      </c>
    </row>
    <row r="1147" spans="1:7" x14ac:dyDescent="0.2">
      <c r="A1147" s="39">
        <v>4870</v>
      </c>
      <c r="B1147" s="38" t="s">
        <v>401</v>
      </c>
      <c r="C1147" s="39" t="s">
        <v>509</v>
      </c>
      <c r="D1147" s="74" t="s">
        <v>1227</v>
      </c>
      <c r="E1147" s="74" t="s">
        <v>1224</v>
      </c>
      <c r="F1147" s="74" t="s">
        <v>1226</v>
      </c>
      <c r="G1147" s="74" t="s">
        <v>1226</v>
      </c>
    </row>
    <row r="1148" spans="1:7" x14ac:dyDescent="0.2">
      <c r="A1148" s="39">
        <v>4871</v>
      </c>
      <c r="B1148" s="38" t="s">
        <v>402</v>
      </c>
      <c r="C1148" s="39" t="s">
        <v>509</v>
      </c>
      <c r="D1148" s="74" t="s">
        <v>1227</v>
      </c>
      <c r="E1148" s="74" t="s">
        <v>1224</v>
      </c>
      <c r="F1148" s="74" t="s">
        <v>1226</v>
      </c>
      <c r="G1148" s="74" t="s">
        <v>1226</v>
      </c>
    </row>
    <row r="1149" spans="1:7" x14ac:dyDescent="0.2">
      <c r="A1149" s="39">
        <v>4872</v>
      </c>
      <c r="B1149" s="38" t="s">
        <v>403</v>
      </c>
      <c r="C1149" s="39" t="s">
        <v>509</v>
      </c>
      <c r="D1149" s="74" t="s">
        <v>1227</v>
      </c>
      <c r="E1149" s="74" t="s">
        <v>1224</v>
      </c>
      <c r="F1149" s="74" t="s">
        <v>1226</v>
      </c>
      <c r="G1149" s="74" t="s">
        <v>1225</v>
      </c>
    </row>
    <row r="1150" spans="1:7" x14ac:dyDescent="0.2">
      <c r="A1150" s="39">
        <v>4873</v>
      </c>
      <c r="B1150" s="38" t="s">
        <v>404</v>
      </c>
      <c r="C1150" s="39" t="s">
        <v>509</v>
      </c>
      <c r="D1150" s="74" t="s">
        <v>1227</v>
      </c>
      <c r="E1150" s="74" t="s">
        <v>1224</v>
      </c>
      <c r="F1150" s="74" t="s">
        <v>1226</v>
      </c>
      <c r="G1150" s="74" t="s">
        <v>1226</v>
      </c>
    </row>
    <row r="1151" spans="1:7" x14ac:dyDescent="0.2">
      <c r="A1151" s="39">
        <v>4874</v>
      </c>
      <c r="B1151" s="38" t="s">
        <v>405</v>
      </c>
      <c r="C1151" s="39" t="s">
        <v>509</v>
      </c>
      <c r="D1151" s="74" t="s">
        <v>406</v>
      </c>
      <c r="E1151" s="74" t="s">
        <v>407</v>
      </c>
      <c r="F1151" s="74" t="s">
        <v>1225</v>
      </c>
      <c r="G1151" s="74" t="s">
        <v>1225</v>
      </c>
    </row>
    <row r="1152" spans="1:7" x14ac:dyDescent="0.2">
      <c r="A1152" s="39">
        <v>4880</v>
      </c>
      <c r="B1152" s="38" t="s">
        <v>408</v>
      </c>
      <c r="C1152" s="39" t="s">
        <v>509</v>
      </c>
      <c r="D1152" s="74" t="s">
        <v>1227</v>
      </c>
      <c r="E1152" s="74" t="s">
        <v>1224</v>
      </c>
      <c r="F1152" s="74" t="s">
        <v>1226</v>
      </c>
      <c r="G1152" s="74" t="s">
        <v>1226</v>
      </c>
    </row>
    <row r="1153" spans="1:7" x14ac:dyDescent="0.2">
      <c r="A1153" s="39">
        <v>4881</v>
      </c>
      <c r="B1153" s="38" t="s">
        <v>409</v>
      </c>
      <c r="C1153" s="39" t="s">
        <v>509</v>
      </c>
      <c r="D1153" s="74" t="s">
        <v>1227</v>
      </c>
      <c r="E1153" s="74" t="s">
        <v>1224</v>
      </c>
      <c r="F1153" s="74" t="s">
        <v>1226</v>
      </c>
      <c r="G1153" s="74" t="s">
        <v>1225</v>
      </c>
    </row>
    <row r="1154" spans="1:7" x14ac:dyDescent="0.2">
      <c r="A1154" s="39">
        <v>4882</v>
      </c>
      <c r="B1154" s="38" t="s">
        <v>410</v>
      </c>
      <c r="C1154" s="39" t="s">
        <v>509</v>
      </c>
      <c r="D1154" s="74" t="s">
        <v>1227</v>
      </c>
      <c r="E1154" s="74" t="s">
        <v>1224</v>
      </c>
      <c r="F1154" s="74" t="s">
        <v>1226</v>
      </c>
      <c r="G1154" s="74" t="s">
        <v>1225</v>
      </c>
    </row>
    <row r="1155" spans="1:7" x14ac:dyDescent="0.2">
      <c r="A1155" s="39">
        <v>4890</v>
      </c>
      <c r="B1155" s="38" t="s">
        <v>411</v>
      </c>
      <c r="C1155" s="39" t="s">
        <v>509</v>
      </c>
      <c r="D1155" s="74" t="s">
        <v>1227</v>
      </c>
      <c r="E1155" s="74" t="s">
        <v>1224</v>
      </c>
      <c r="F1155" s="74" t="s">
        <v>1226</v>
      </c>
      <c r="G1155" s="74" t="s">
        <v>1226</v>
      </c>
    </row>
    <row r="1156" spans="1:7" x14ac:dyDescent="0.2">
      <c r="A1156" s="39">
        <v>4891</v>
      </c>
      <c r="B1156" s="38" t="s">
        <v>412</v>
      </c>
      <c r="C1156" s="39" t="s">
        <v>509</v>
      </c>
      <c r="D1156" s="74" t="s">
        <v>1227</v>
      </c>
      <c r="E1156" s="74" t="s">
        <v>1224</v>
      </c>
      <c r="F1156" s="74" t="s">
        <v>1226</v>
      </c>
      <c r="G1156" s="74" t="s">
        <v>1225</v>
      </c>
    </row>
    <row r="1157" spans="1:7" x14ac:dyDescent="0.2">
      <c r="A1157" s="39">
        <v>4892</v>
      </c>
      <c r="B1157" s="38" t="s">
        <v>413</v>
      </c>
      <c r="C1157" s="39" t="s">
        <v>509</v>
      </c>
      <c r="D1157" s="74" t="s">
        <v>1227</v>
      </c>
      <c r="E1157" s="74" t="s">
        <v>1224</v>
      </c>
      <c r="F1157" s="74" t="s">
        <v>1226</v>
      </c>
      <c r="G1157" s="74" t="s">
        <v>1225</v>
      </c>
    </row>
    <row r="1158" spans="1:7" x14ac:dyDescent="0.2">
      <c r="A1158" s="39">
        <v>4893</v>
      </c>
      <c r="B1158" s="38" t="s">
        <v>414</v>
      </c>
      <c r="C1158" s="39" t="s">
        <v>509</v>
      </c>
      <c r="D1158" s="74" t="s">
        <v>1227</v>
      </c>
      <c r="E1158" s="74" t="s">
        <v>1224</v>
      </c>
      <c r="F1158" s="74" t="s">
        <v>1226</v>
      </c>
      <c r="G1158" s="74" t="s">
        <v>1226</v>
      </c>
    </row>
    <row r="1159" spans="1:7" x14ac:dyDescent="0.2">
      <c r="A1159" s="39">
        <v>4894</v>
      </c>
      <c r="B1159" s="38" t="s">
        <v>415</v>
      </c>
      <c r="C1159" s="39" t="s">
        <v>509</v>
      </c>
      <c r="D1159" s="74" t="s">
        <v>1227</v>
      </c>
      <c r="E1159" s="74" t="s">
        <v>1224</v>
      </c>
      <c r="F1159" s="74" t="s">
        <v>1226</v>
      </c>
      <c r="G1159" s="74" t="s">
        <v>1226</v>
      </c>
    </row>
    <row r="1160" spans="1:7" x14ac:dyDescent="0.2">
      <c r="A1160" s="39">
        <v>4901</v>
      </c>
      <c r="B1160" s="38" t="s">
        <v>416</v>
      </c>
      <c r="C1160" s="39" t="s">
        <v>509</v>
      </c>
      <c r="D1160" s="74" t="s">
        <v>1227</v>
      </c>
      <c r="E1160" s="74" t="s">
        <v>1224</v>
      </c>
      <c r="F1160" s="74" t="s">
        <v>1226</v>
      </c>
      <c r="G1160" s="74" t="s">
        <v>1226</v>
      </c>
    </row>
    <row r="1161" spans="1:7" x14ac:dyDescent="0.2">
      <c r="A1161" s="39">
        <v>4902</v>
      </c>
      <c r="B1161" s="38" t="s">
        <v>417</v>
      </c>
      <c r="C1161" s="39" t="s">
        <v>509</v>
      </c>
      <c r="D1161" s="74" t="s">
        <v>1227</v>
      </c>
      <c r="E1161" s="74" t="s">
        <v>1224</v>
      </c>
      <c r="F1161" s="74" t="s">
        <v>1226</v>
      </c>
      <c r="G1161" s="74" t="s">
        <v>1225</v>
      </c>
    </row>
    <row r="1162" spans="1:7" x14ac:dyDescent="0.2">
      <c r="A1162" s="39">
        <v>4904</v>
      </c>
      <c r="B1162" s="38" t="s">
        <v>418</v>
      </c>
      <c r="C1162" s="39" t="s">
        <v>509</v>
      </c>
      <c r="D1162" s="74" t="s">
        <v>1227</v>
      </c>
      <c r="E1162" s="74" t="s">
        <v>1224</v>
      </c>
      <c r="F1162" s="74" t="s">
        <v>1226</v>
      </c>
      <c r="G1162" s="74" t="s">
        <v>1225</v>
      </c>
    </row>
    <row r="1163" spans="1:7" x14ac:dyDescent="0.2">
      <c r="A1163" s="39">
        <v>4905</v>
      </c>
      <c r="B1163" s="38" t="s">
        <v>419</v>
      </c>
      <c r="C1163" s="39" t="s">
        <v>509</v>
      </c>
      <c r="D1163" s="74" t="s">
        <v>1227</v>
      </c>
      <c r="E1163" s="74" t="s">
        <v>1224</v>
      </c>
      <c r="F1163" s="74" t="s">
        <v>1226</v>
      </c>
      <c r="G1163" s="74" t="s">
        <v>1225</v>
      </c>
    </row>
    <row r="1164" spans="1:7" x14ac:dyDescent="0.2">
      <c r="A1164" s="39">
        <v>4906</v>
      </c>
      <c r="B1164" s="38" t="s">
        <v>420</v>
      </c>
      <c r="C1164" s="39" t="s">
        <v>509</v>
      </c>
      <c r="D1164" s="74" t="s">
        <v>1227</v>
      </c>
      <c r="E1164" s="74" t="s">
        <v>1224</v>
      </c>
      <c r="F1164" s="74" t="s">
        <v>1226</v>
      </c>
      <c r="G1164" s="74" t="s">
        <v>1226</v>
      </c>
    </row>
    <row r="1165" spans="1:7" x14ac:dyDescent="0.2">
      <c r="A1165" s="39">
        <v>4910</v>
      </c>
      <c r="B1165" s="38" t="s">
        <v>421</v>
      </c>
      <c r="C1165" s="39" t="s">
        <v>509</v>
      </c>
      <c r="D1165" s="74" t="s">
        <v>1227</v>
      </c>
      <c r="E1165" s="74" t="s">
        <v>1224</v>
      </c>
      <c r="F1165" s="74" t="s">
        <v>1226</v>
      </c>
      <c r="G1165" s="74" t="s">
        <v>1226</v>
      </c>
    </row>
    <row r="1166" spans="1:7" x14ac:dyDescent="0.2">
      <c r="A1166" s="39">
        <v>4912</v>
      </c>
      <c r="B1166" s="38" t="s">
        <v>422</v>
      </c>
      <c r="C1166" s="39" t="s">
        <v>509</v>
      </c>
      <c r="D1166" s="74" t="s">
        <v>1227</v>
      </c>
      <c r="E1166" s="74" t="s">
        <v>1224</v>
      </c>
      <c r="F1166" s="74" t="s">
        <v>1226</v>
      </c>
      <c r="G1166" s="74" t="s">
        <v>1225</v>
      </c>
    </row>
    <row r="1167" spans="1:7" x14ac:dyDescent="0.2">
      <c r="A1167" s="39">
        <v>4920</v>
      </c>
      <c r="B1167" s="38" t="s">
        <v>423</v>
      </c>
      <c r="C1167" s="39" t="s">
        <v>509</v>
      </c>
      <c r="D1167" s="74" t="s">
        <v>1227</v>
      </c>
      <c r="E1167" s="74" t="s">
        <v>1224</v>
      </c>
      <c r="F1167" s="74" t="s">
        <v>1226</v>
      </c>
      <c r="G1167" s="74" t="s">
        <v>1225</v>
      </c>
    </row>
    <row r="1168" spans="1:7" x14ac:dyDescent="0.2">
      <c r="A1168" s="39">
        <v>4921</v>
      </c>
      <c r="B1168" s="38" t="s">
        <v>424</v>
      </c>
      <c r="C1168" s="39" t="s">
        <v>509</v>
      </c>
      <c r="D1168" s="74" t="s">
        <v>1227</v>
      </c>
      <c r="E1168" s="74" t="s">
        <v>1224</v>
      </c>
      <c r="F1168" s="74" t="s">
        <v>1226</v>
      </c>
      <c r="G1168" s="74" t="s">
        <v>1225</v>
      </c>
    </row>
    <row r="1169" spans="1:7" x14ac:dyDescent="0.2">
      <c r="A1169" s="39">
        <v>4922</v>
      </c>
      <c r="B1169" s="38" t="s">
        <v>425</v>
      </c>
      <c r="C1169" s="39" t="s">
        <v>509</v>
      </c>
      <c r="D1169" s="74" t="s">
        <v>1227</v>
      </c>
      <c r="E1169" s="74" t="s">
        <v>1224</v>
      </c>
      <c r="F1169" s="74" t="s">
        <v>1226</v>
      </c>
      <c r="G1169" s="74" t="s">
        <v>1225</v>
      </c>
    </row>
    <row r="1170" spans="1:7" x14ac:dyDescent="0.2">
      <c r="A1170" s="39">
        <v>4923</v>
      </c>
      <c r="B1170" s="38" t="s">
        <v>426</v>
      </c>
      <c r="C1170" s="39" t="s">
        <v>509</v>
      </c>
      <c r="D1170" s="74" t="s">
        <v>1227</v>
      </c>
      <c r="E1170" s="74" t="s">
        <v>1224</v>
      </c>
      <c r="F1170" s="74" t="s">
        <v>1226</v>
      </c>
      <c r="G1170" s="74" t="s">
        <v>1226</v>
      </c>
    </row>
    <row r="1171" spans="1:7" x14ac:dyDescent="0.2">
      <c r="A1171" s="39">
        <v>4924</v>
      </c>
      <c r="B1171" s="38" t="s">
        <v>427</v>
      </c>
      <c r="C1171" s="39" t="s">
        <v>509</v>
      </c>
      <c r="D1171" s="74" t="s">
        <v>1227</v>
      </c>
      <c r="E1171" s="74" t="s">
        <v>1224</v>
      </c>
      <c r="F1171" s="74" t="s">
        <v>1226</v>
      </c>
      <c r="G1171" s="74" t="s">
        <v>1226</v>
      </c>
    </row>
    <row r="1172" spans="1:7" x14ac:dyDescent="0.2">
      <c r="A1172" s="39">
        <v>4925</v>
      </c>
      <c r="B1172" s="38" t="s">
        <v>405</v>
      </c>
      <c r="C1172" s="39" t="s">
        <v>509</v>
      </c>
      <c r="D1172" s="74" t="s">
        <v>1227</v>
      </c>
      <c r="E1172" s="74" t="s">
        <v>1224</v>
      </c>
      <c r="F1172" s="74" t="s">
        <v>1226</v>
      </c>
      <c r="G1172" s="74" t="s">
        <v>1225</v>
      </c>
    </row>
    <row r="1173" spans="1:7" x14ac:dyDescent="0.2">
      <c r="A1173" s="39">
        <v>4926</v>
      </c>
      <c r="B1173" s="38" t="s">
        <v>428</v>
      </c>
      <c r="C1173" s="39" t="s">
        <v>509</v>
      </c>
      <c r="D1173" s="74" t="s">
        <v>1227</v>
      </c>
      <c r="E1173" s="74" t="s">
        <v>1224</v>
      </c>
      <c r="F1173" s="74" t="s">
        <v>1226</v>
      </c>
      <c r="G1173" s="74" t="s">
        <v>1225</v>
      </c>
    </row>
    <row r="1174" spans="1:7" x14ac:dyDescent="0.2">
      <c r="A1174" s="39">
        <v>4931</v>
      </c>
      <c r="B1174" s="38" t="s">
        <v>429</v>
      </c>
      <c r="C1174" s="39" t="s">
        <v>509</v>
      </c>
      <c r="D1174" s="74" t="s">
        <v>1227</v>
      </c>
      <c r="E1174" s="74" t="s">
        <v>1224</v>
      </c>
      <c r="F1174" s="74" t="s">
        <v>1226</v>
      </c>
      <c r="G1174" s="74" t="s">
        <v>1226</v>
      </c>
    </row>
    <row r="1175" spans="1:7" x14ac:dyDescent="0.2">
      <c r="A1175" s="39">
        <v>4932</v>
      </c>
      <c r="B1175" s="38" t="s">
        <v>430</v>
      </c>
      <c r="C1175" s="39" t="s">
        <v>509</v>
      </c>
      <c r="D1175" s="74" t="s">
        <v>1227</v>
      </c>
      <c r="E1175" s="74" t="s">
        <v>1224</v>
      </c>
      <c r="F1175" s="74" t="s">
        <v>1226</v>
      </c>
      <c r="G1175" s="74" t="s">
        <v>1225</v>
      </c>
    </row>
    <row r="1176" spans="1:7" x14ac:dyDescent="0.2">
      <c r="A1176" s="39">
        <v>4933</v>
      </c>
      <c r="B1176" s="38" t="s">
        <v>431</v>
      </c>
      <c r="C1176" s="39" t="s">
        <v>509</v>
      </c>
      <c r="D1176" s="74" t="s">
        <v>1227</v>
      </c>
      <c r="E1176" s="74" t="s">
        <v>1224</v>
      </c>
      <c r="F1176" s="74" t="s">
        <v>1226</v>
      </c>
      <c r="G1176" s="74" t="s">
        <v>1225</v>
      </c>
    </row>
    <row r="1177" spans="1:7" x14ac:dyDescent="0.2">
      <c r="A1177" s="39">
        <v>4941</v>
      </c>
      <c r="B1177" s="38" t="s">
        <v>432</v>
      </c>
      <c r="C1177" s="39" t="s">
        <v>509</v>
      </c>
      <c r="D1177" s="74" t="s">
        <v>1227</v>
      </c>
      <c r="E1177" s="74" t="s">
        <v>1224</v>
      </c>
      <c r="F1177" s="74" t="s">
        <v>1226</v>
      </c>
      <c r="G1177" s="74" t="s">
        <v>1225</v>
      </c>
    </row>
    <row r="1178" spans="1:7" x14ac:dyDescent="0.2">
      <c r="A1178" s="39">
        <v>4942</v>
      </c>
      <c r="B1178" s="38" t="s">
        <v>433</v>
      </c>
      <c r="C1178" s="39" t="s">
        <v>509</v>
      </c>
      <c r="D1178" s="74" t="s">
        <v>1227</v>
      </c>
      <c r="E1178" s="74" t="s">
        <v>1224</v>
      </c>
      <c r="F1178" s="74" t="s">
        <v>1226</v>
      </c>
      <c r="G1178" s="74" t="s">
        <v>1225</v>
      </c>
    </row>
    <row r="1179" spans="1:7" x14ac:dyDescent="0.2">
      <c r="A1179" s="39">
        <v>4943</v>
      </c>
      <c r="B1179" s="38" t="s">
        <v>434</v>
      </c>
      <c r="C1179" s="39" t="s">
        <v>509</v>
      </c>
      <c r="D1179" s="74" t="s">
        <v>1227</v>
      </c>
      <c r="E1179" s="74" t="s">
        <v>1224</v>
      </c>
      <c r="F1179" s="74" t="s">
        <v>1226</v>
      </c>
      <c r="G1179" s="74" t="s">
        <v>1226</v>
      </c>
    </row>
    <row r="1180" spans="1:7" x14ac:dyDescent="0.2">
      <c r="A1180" s="39">
        <v>4950</v>
      </c>
      <c r="B1180" s="38" t="s">
        <v>435</v>
      </c>
      <c r="C1180" s="39" t="s">
        <v>509</v>
      </c>
      <c r="D1180" s="74" t="s">
        <v>1227</v>
      </c>
      <c r="E1180" s="74" t="s">
        <v>1224</v>
      </c>
      <c r="F1180" s="74" t="s">
        <v>1226</v>
      </c>
      <c r="G1180" s="74" t="s">
        <v>1226</v>
      </c>
    </row>
    <row r="1181" spans="1:7" x14ac:dyDescent="0.2">
      <c r="A1181" s="39">
        <v>4951</v>
      </c>
      <c r="B1181" s="38" t="s">
        <v>436</v>
      </c>
      <c r="C1181" s="39" t="s">
        <v>509</v>
      </c>
      <c r="D1181" s="74" t="s">
        <v>1227</v>
      </c>
      <c r="E1181" s="74" t="s">
        <v>1224</v>
      </c>
      <c r="F1181" s="74" t="s">
        <v>1226</v>
      </c>
      <c r="G1181" s="74" t="s">
        <v>1225</v>
      </c>
    </row>
    <row r="1182" spans="1:7" x14ac:dyDescent="0.2">
      <c r="A1182" s="39">
        <v>4952</v>
      </c>
      <c r="B1182" s="38" t="s">
        <v>437</v>
      </c>
      <c r="C1182" s="39" t="s">
        <v>509</v>
      </c>
      <c r="D1182" s="74" t="s">
        <v>1227</v>
      </c>
      <c r="E1182" s="74" t="s">
        <v>1224</v>
      </c>
      <c r="F1182" s="74" t="s">
        <v>1226</v>
      </c>
      <c r="G1182" s="74" t="s">
        <v>1225</v>
      </c>
    </row>
    <row r="1183" spans="1:7" x14ac:dyDescent="0.2">
      <c r="A1183" s="39">
        <v>4961</v>
      </c>
      <c r="B1183" s="38" t="s">
        <v>438</v>
      </c>
      <c r="C1183" s="39" t="s">
        <v>509</v>
      </c>
      <c r="D1183" s="74" t="s">
        <v>1227</v>
      </c>
      <c r="E1183" s="74" t="s">
        <v>1224</v>
      </c>
      <c r="F1183" s="74" t="s">
        <v>1226</v>
      </c>
      <c r="G1183" s="74" t="s">
        <v>1225</v>
      </c>
    </row>
    <row r="1184" spans="1:7" x14ac:dyDescent="0.2">
      <c r="A1184" s="39">
        <v>4962</v>
      </c>
      <c r="B1184" s="38" t="s">
        <v>439</v>
      </c>
      <c r="C1184" s="39" t="s">
        <v>509</v>
      </c>
      <c r="D1184" s="74" t="s">
        <v>1227</v>
      </c>
      <c r="E1184" s="74" t="s">
        <v>1224</v>
      </c>
      <c r="F1184" s="74" t="s">
        <v>1226</v>
      </c>
      <c r="G1184" s="74" t="s">
        <v>1225</v>
      </c>
    </row>
    <row r="1185" spans="1:7" x14ac:dyDescent="0.2">
      <c r="A1185" s="39">
        <v>4963</v>
      </c>
      <c r="B1185" s="38" t="s">
        <v>440</v>
      </c>
      <c r="C1185" s="39" t="s">
        <v>509</v>
      </c>
      <c r="D1185" s="74" t="s">
        <v>1227</v>
      </c>
      <c r="E1185" s="74" t="s">
        <v>1224</v>
      </c>
      <c r="F1185" s="74" t="s">
        <v>1226</v>
      </c>
      <c r="G1185" s="74" t="s">
        <v>1225</v>
      </c>
    </row>
    <row r="1186" spans="1:7" x14ac:dyDescent="0.2">
      <c r="A1186" s="39">
        <v>4970</v>
      </c>
      <c r="B1186" s="38" t="s">
        <v>441</v>
      </c>
      <c r="C1186" s="39" t="s">
        <v>509</v>
      </c>
      <c r="D1186" s="74" t="s">
        <v>1227</v>
      </c>
      <c r="E1186" s="74" t="s">
        <v>1224</v>
      </c>
      <c r="F1186" s="74" t="s">
        <v>1226</v>
      </c>
      <c r="G1186" s="74" t="s">
        <v>1225</v>
      </c>
    </row>
    <row r="1187" spans="1:7" x14ac:dyDescent="0.2">
      <c r="A1187" s="39">
        <v>4971</v>
      </c>
      <c r="B1187" s="38" t="s">
        <v>442</v>
      </c>
      <c r="C1187" s="39" t="s">
        <v>509</v>
      </c>
      <c r="D1187" s="74" t="s">
        <v>1227</v>
      </c>
      <c r="E1187" s="74" t="s">
        <v>1224</v>
      </c>
      <c r="F1187" s="74" t="s">
        <v>1226</v>
      </c>
      <c r="G1187" s="74" t="s">
        <v>1226</v>
      </c>
    </row>
    <row r="1188" spans="1:7" x14ac:dyDescent="0.2">
      <c r="A1188" s="39">
        <v>4972</v>
      </c>
      <c r="B1188" s="38" t="s">
        <v>443</v>
      </c>
      <c r="C1188" s="39" t="s">
        <v>509</v>
      </c>
      <c r="D1188" s="74" t="s">
        <v>1227</v>
      </c>
      <c r="E1188" s="74" t="s">
        <v>1224</v>
      </c>
      <c r="F1188" s="74" t="s">
        <v>1226</v>
      </c>
      <c r="G1188" s="74" t="s">
        <v>1225</v>
      </c>
    </row>
    <row r="1189" spans="1:7" x14ac:dyDescent="0.2">
      <c r="A1189" s="39">
        <v>4973</v>
      </c>
      <c r="B1189" s="38" t="s">
        <v>627</v>
      </c>
      <c r="C1189" s="39" t="s">
        <v>509</v>
      </c>
      <c r="D1189" s="74" t="s">
        <v>1227</v>
      </c>
      <c r="E1189" s="74" t="s">
        <v>1224</v>
      </c>
      <c r="F1189" s="74" t="s">
        <v>1226</v>
      </c>
      <c r="G1189" s="74" t="s">
        <v>1226</v>
      </c>
    </row>
    <row r="1190" spans="1:7" x14ac:dyDescent="0.2">
      <c r="A1190" s="39">
        <v>4974</v>
      </c>
      <c r="B1190" s="38" t="s">
        <v>444</v>
      </c>
      <c r="C1190" s="39" t="s">
        <v>509</v>
      </c>
      <c r="D1190" s="74" t="s">
        <v>1227</v>
      </c>
      <c r="E1190" s="74" t="s">
        <v>1224</v>
      </c>
      <c r="F1190" s="74" t="s">
        <v>1226</v>
      </c>
      <c r="G1190" s="74" t="s">
        <v>1225</v>
      </c>
    </row>
    <row r="1191" spans="1:7" x14ac:dyDescent="0.2">
      <c r="A1191" s="39">
        <v>4975</v>
      </c>
      <c r="B1191" s="38" t="s">
        <v>445</v>
      </c>
      <c r="C1191" s="39" t="s">
        <v>509</v>
      </c>
      <c r="D1191" s="74" t="s">
        <v>1227</v>
      </c>
      <c r="E1191" s="74" t="s">
        <v>1224</v>
      </c>
      <c r="F1191" s="74" t="s">
        <v>1226</v>
      </c>
      <c r="G1191" s="74" t="s">
        <v>1225</v>
      </c>
    </row>
    <row r="1192" spans="1:7" x14ac:dyDescent="0.2">
      <c r="A1192" s="39">
        <v>4980</v>
      </c>
      <c r="B1192" s="38" t="s">
        <v>446</v>
      </c>
      <c r="C1192" s="39" t="s">
        <v>509</v>
      </c>
      <c r="D1192" s="74" t="s">
        <v>1227</v>
      </c>
      <c r="E1192" s="74" t="s">
        <v>1224</v>
      </c>
      <c r="F1192" s="74" t="s">
        <v>1226</v>
      </c>
      <c r="G1192" s="74" t="s">
        <v>1225</v>
      </c>
    </row>
    <row r="1193" spans="1:7" x14ac:dyDescent="0.2">
      <c r="A1193" s="39">
        <v>4981</v>
      </c>
      <c r="B1193" s="38" t="s">
        <v>242</v>
      </c>
      <c r="C1193" s="39" t="s">
        <v>509</v>
      </c>
      <c r="D1193" s="74" t="s">
        <v>1227</v>
      </c>
      <c r="E1193" s="74" t="s">
        <v>1224</v>
      </c>
      <c r="F1193" s="74" t="s">
        <v>1226</v>
      </c>
      <c r="G1193" s="74" t="s">
        <v>1225</v>
      </c>
    </row>
    <row r="1194" spans="1:7" x14ac:dyDescent="0.2">
      <c r="A1194" s="39">
        <v>4982</v>
      </c>
      <c r="B1194" s="38" t="s">
        <v>651</v>
      </c>
      <c r="C1194" s="39" t="s">
        <v>509</v>
      </c>
      <c r="D1194" s="74" t="s">
        <v>1227</v>
      </c>
      <c r="E1194" s="74" t="s">
        <v>1224</v>
      </c>
      <c r="F1194" s="74" t="s">
        <v>1226</v>
      </c>
      <c r="G1194" s="74" t="s">
        <v>1226</v>
      </c>
    </row>
    <row r="1195" spans="1:7" x14ac:dyDescent="0.2">
      <c r="A1195" s="39">
        <v>4983</v>
      </c>
      <c r="B1195" s="38" t="s">
        <v>652</v>
      </c>
      <c r="C1195" s="39" t="s">
        <v>509</v>
      </c>
      <c r="D1195" s="74" t="s">
        <v>1227</v>
      </c>
      <c r="E1195" s="74" t="s">
        <v>1224</v>
      </c>
      <c r="F1195" s="74" t="s">
        <v>1226</v>
      </c>
      <c r="G1195" s="74" t="s">
        <v>1225</v>
      </c>
    </row>
    <row r="1196" spans="1:7" x14ac:dyDescent="0.2">
      <c r="A1196" s="39">
        <v>4984</v>
      </c>
      <c r="B1196" s="38" t="s">
        <v>653</v>
      </c>
      <c r="C1196" s="39" t="s">
        <v>509</v>
      </c>
      <c r="D1196" s="74" t="s">
        <v>1227</v>
      </c>
      <c r="E1196" s="74" t="s">
        <v>1224</v>
      </c>
      <c r="F1196" s="74" t="s">
        <v>1226</v>
      </c>
      <c r="G1196" s="74" t="s">
        <v>1225</v>
      </c>
    </row>
    <row r="1197" spans="1:7" x14ac:dyDescent="0.2">
      <c r="A1197" s="39">
        <v>5010</v>
      </c>
      <c r="B1197" s="38" t="s">
        <v>248</v>
      </c>
      <c r="C1197" s="39" t="s">
        <v>654</v>
      </c>
      <c r="D1197" s="74" t="s">
        <v>1229</v>
      </c>
      <c r="E1197" s="74" t="s">
        <v>1224</v>
      </c>
      <c r="F1197" s="74" t="s">
        <v>1225</v>
      </c>
      <c r="G1197" s="74" t="s">
        <v>1226</v>
      </c>
    </row>
    <row r="1198" spans="1:7" x14ac:dyDescent="0.2">
      <c r="A1198" s="39">
        <v>5012</v>
      </c>
      <c r="B1198" s="38" t="s">
        <v>248</v>
      </c>
      <c r="C1198" s="39" t="s">
        <v>654</v>
      </c>
      <c r="D1198" s="74" t="s">
        <v>1229</v>
      </c>
      <c r="E1198" s="74" t="s">
        <v>1224</v>
      </c>
      <c r="F1198" s="74" t="s">
        <v>1225</v>
      </c>
      <c r="G1198" s="74" t="s">
        <v>1226</v>
      </c>
    </row>
    <row r="1199" spans="1:7" x14ac:dyDescent="0.2">
      <c r="A1199" s="39">
        <v>5013</v>
      </c>
      <c r="B1199" s="38" t="s">
        <v>655</v>
      </c>
      <c r="C1199" s="39" t="s">
        <v>654</v>
      </c>
      <c r="D1199" s="74" t="s">
        <v>1229</v>
      </c>
      <c r="E1199" s="74" t="s">
        <v>1224</v>
      </c>
      <c r="F1199" s="74" t="s">
        <v>1225</v>
      </c>
      <c r="G1199" s="74" t="s">
        <v>1226</v>
      </c>
    </row>
    <row r="1200" spans="1:7" x14ac:dyDescent="0.2">
      <c r="A1200" s="39">
        <v>5014</v>
      </c>
      <c r="B1200" s="38" t="s">
        <v>248</v>
      </c>
      <c r="C1200" s="39" t="s">
        <v>654</v>
      </c>
      <c r="D1200" s="74" t="s">
        <v>1229</v>
      </c>
      <c r="E1200" s="74" t="s">
        <v>1224</v>
      </c>
      <c r="F1200" s="74" t="s">
        <v>1225</v>
      </c>
      <c r="G1200" s="74" t="s">
        <v>1226</v>
      </c>
    </row>
    <row r="1201" spans="1:7" x14ac:dyDescent="0.2">
      <c r="A1201" s="39">
        <v>5015</v>
      </c>
      <c r="B1201" s="38" t="s">
        <v>248</v>
      </c>
      <c r="C1201" s="39" t="s">
        <v>654</v>
      </c>
      <c r="D1201" s="74" t="s">
        <v>1229</v>
      </c>
      <c r="E1201" s="74" t="s">
        <v>1224</v>
      </c>
      <c r="F1201" s="74" t="s">
        <v>1225</v>
      </c>
      <c r="G1201" s="74" t="s">
        <v>1226</v>
      </c>
    </row>
    <row r="1202" spans="1:7" x14ac:dyDescent="0.2">
      <c r="A1202" s="39">
        <v>5016</v>
      </c>
      <c r="B1202" s="38" t="s">
        <v>248</v>
      </c>
      <c r="C1202" s="39" t="s">
        <v>654</v>
      </c>
      <c r="D1202" s="74" t="s">
        <v>1229</v>
      </c>
      <c r="E1202" s="74" t="s">
        <v>1224</v>
      </c>
      <c r="F1202" s="74" t="s">
        <v>1225</v>
      </c>
      <c r="G1202" s="74" t="s">
        <v>1226</v>
      </c>
    </row>
    <row r="1203" spans="1:7" x14ac:dyDescent="0.2">
      <c r="A1203" s="39">
        <v>5017</v>
      </c>
      <c r="B1203" s="38" t="s">
        <v>248</v>
      </c>
      <c r="C1203" s="39" t="s">
        <v>654</v>
      </c>
      <c r="D1203" s="74" t="s">
        <v>1229</v>
      </c>
      <c r="E1203" s="74" t="s">
        <v>1224</v>
      </c>
      <c r="F1203" s="74" t="s">
        <v>1225</v>
      </c>
      <c r="G1203" s="74" t="s">
        <v>1226</v>
      </c>
    </row>
    <row r="1204" spans="1:7" x14ac:dyDescent="0.2">
      <c r="A1204" s="39">
        <v>5018</v>
      </c>
      <c r="B1204" s="38" t="s">
        <v>656</v>
      </c>
      <c r="C1204" s="39" t="s">
        <v>654</v>
      </c>
      <c r="D1204" s="74" t="s">
        <v>1229</v>
      </c>
      <c r="E1204" s="74" t="s">
        <v>1224</v>
      </c>
      <c r="F1204" s="74" t="s">
        <v>1225</v>
      </c>
      <c r="G1204" s="74" t="s">
        <v>1226</v>
      </c>
    </row>
    <row r="1205" spans="1:7" x14ac:dyDescent="0.2">
      <c r="A1205" s="39">
        <v>5020</v>
      </c>
      <c r="B1205" s="38" t="s">
        <v>248</v>
      </c>
      <c r="C1205" s="39" t="s">
        <v>654</v>
      </c>
      <c r="D1205" s="74" t="s">
        <v>1227</v>
      </c>
      <c r="E1205" s="74" t="s">
        <v>1224</v>
      </c>
      <c r="F1205" s="74" t="s">
        <v>1226</v>
      </c>
      <c r="G1205" s="74" t="s">
        <v>1226</v>
      </c>
    </row>
    <row r="1206" spans="1:7" x14ac:dyDescent="0.2">
      <c r="A1206" s="39">
        <v>5021</v>
      </c>
      <c r="B1206" s="38" t="s">
        <v>657</v>
      </c>
      <c r="C1206" s="39" t="s">
        <v>654</v>
      </c>
      <c r="D1206" s="74" t="s">
        <v>1229</v>
      </c>
      <c r="E1206" s="74" t="s">
        <v>1224</v>
      </c>
      <c r="F1206" s="74" t="s">
        <v>1225</v>
      </c>
      <c r="G1206" s="74" t="s">
        <v>1226</v>
      </c>
    </row>
    <row r="1207" spans="1:7" x14ac:dyDescent="0.2">
      <c r="A1207" s="39">
        <v>5022</v>
      </c>
      <c r="B1207" s="38" t="s">
        <v>248</v>
      </c>
      <c r="C1207" s="39" t="s">
        <v>654</v>
      </c>
      <c r="D1207" s="74" t="s">
        <v>1229</v>
      </c>
      <c r="E1207" s="74" t="s">
        <v>1224</v>
      </c>
      <c r="F1207" s="74" t="s">
        <v>1225</v>
      </c>
      <c r="G1207" s="74" t="s">
        <v>1226</v>
      </c>
    </row>
    <row r="1208" spans="1:7" x14ac:dyDescent="0.2">
      <c r="A1208" s="39">
        <v>5023</v>
      </c>
      <c r="B1208" s="38" t="s">
        <v>658</v>
      </c>
      <c r="C1208" s="39" t="s">
        <v>654</v>
      </c>
      <c r="D1208" s="74" t="s">
        <v>1227</v>
      </c>
      <c r="E1208" s="74" t="s">
        <v>1224</v>
      </c>
      <c r="F1208" s="74" t="s">
        <v>1226</v>
      </c>
      <c r="G1208" s="74" t="s">
        <v>1226</v>
      </c>
    </row>
    <row r="1209" spans="1:7" x14ac:dyDescent="0.2">
      <c r="A1209" s="39">
        <v>5024</v>
      </c>
      <c r="B1209" s="38" t="s">
        <v>248</v>
      </c>
      <c r="C1209" s="39" t="s">
        <v>654</v>
      </c>
      <c r="D1209" s="74" t="s">
        <v>1229</v>
      </c>
      <c r="E1209" s="74" t="s">
        <v>1224</v>
      </c>
      <c r="F1209" s="74" t="s">
        <v>1225</v>
      </c>
      <c r="G1209" s="74" t="s">
        <v>1226</v>
      </c>
    </row>
    <row r="1210" spans="1:7" x14ac:dyDescent="0.2">
      <c r="A1210" s="39">
        <v>5025</v>
      </c>
      <c r="B1210" s="38" t="s">
        <v>659</v>
      </c>
      <c r="C1210" s="39" t="s">
        <v>654</v>
      </c>
      <c r="D1210" s="74" t="s">
        <v>1229</v>
      </c>
      <c r="E1210" s="74" t="s">
        <v>1224</v>
      </c>
      <c r="F1210" s="74" t="s">
        <v>1225</v>
      </c>
      <c r="G1210" s="74" t="s">
        <v>1226</v>
      </c>
    </row>
    <row r="1211" spans="1:7" x14ac:dyDescent="0.2">
      <c r="A1211" s="39">
        <v>5026</v>
      </c>
      <c r="B1211" s="38" t="s">
        <v>660</v>
      </c>
      <c r="C1211" s="39" t="s">
        <v>654</v>
      </c>
      <c r="D1211" s="74" t="s">
        <v>1227</v>
      </c>
      <c r="E1211" s="74" t="s">
        <v>1224</v>
      </c>
      <c r="F1211" s="74" t="s">
        <v>1226</v>
      </c>
      <c r="G1211" s="74" t="s">
        <v>1226</v>
      </c>
    </row>
    <row r="1212" spans="1:7" x14ac:dyDescent="0.2">
      <c r="A1212" s="39">
        <v>5027</v>
      </c>
      <c r="B1212" s="38" t="s">
        <v>248</v>
      </c>
      <c r="C1212" s="39" t="s">
        <v>654</v>
      </c>
      <c r="D1212" s="74" t="s">
        <v>1229</v>
      </c>
      <c r="E1212" s="74" t="s">
        <v>1224</v>
      </c>
      <c r="F1212" s="74" t="s">
        <v>1225</v>
      </c>
      <c r="G1212" s="74" t="s">
        <v>1226</v>
      </c>
    </row>
    <row r="1213" spans="1:7" x14ac:dyDescent="0.2">
      <c r="A1213" s="39">
        <v>5028</v>
      </c>
      <c r="B1213" s="38" t="s">
        <v>661</v>
      </c>
      <c r="C1213" s="39" t="s">
        <v>654</v>
      </c>
      <c r="D1213" s="74" t="s">
        <v>1229</v>
      </c>
      <c r="E1213" s="74" t="s">
        <v>1224</v>
      </c>
      <c r="F1213" s="74" t="s">
        <v>1225</v>
      </c>
      <c r="G1213" s="74" t="s">
        <v>1226</v>
      </c>
    </row>
    <row r="1214" spans="1:7" x14ac:dyDescent="0.2">
      <c r="A1214" s="39">
        <v>5029</v>
      </c>
      <c r="B1214" s="38" t="s">
        <v>248</v>
      </c>
      <c r="C1214" s="39" t="s">
        <v>654</v>
      </c>
      <c r="D1214" s="74" t="s">
        <v>1229</v>
      </c>
      <c r="E1214" s="74" t="s">
        <v>1224</v>
      </c>
      <c r="F1214" s="74" t="s">
        <v>1225</v>
      </c>
      <c r="G1214" s="74" t="s">
        <v>1226</v>
      </c>
    </row>
    <row r="1215" spans="1:7" x14ac:dyDescent="0.2">
      <c r="A1215" s="39">
        <v>5033</v>
      </c>
      <c r="B1215" s="38" t="s">
        <v>248</v>
      </c>
      <c r="C1215" s="39" t="s">
        <v>654</v>
      </c>
      <c r="D1215" s="74" t="s">
        <v>1229</v>
      </c>
      <c r="E1215" s="74" t="s">
        <v>1224</v>
      </c>
      <c r="F1215" s="74" t="s">
        <v>1225</v>
      </c>
      <c r="G1215" s="74" t="s">
        <v>1226</v>
      </c>
    </row>
    <row r="1216" spans="1:7" x14ac:dyDescent="0.2">
      <c r="A1216" s="39">
        <v>5034</v>
      </c>
      <c r="B1216" s="38" t="s">
        <v>662</v>
      </c>
      <c r="C1216" s="39" t="s">
        <v>654</v>
      </c>
      <c r="D1216" s="74" t="s">
        <v>1229</v>
      </c>
      <c r="E1216" s="74" t="s">
        <v>1224</v>
      </c>
      <c r="F1216" s="74" t="s">
        <v>1225</v>
      </c>
      <c r="G1216" s="74" t="s">
        <v>1226</v>
      </c>
    </row>
    <row r="1217" spans="1:7" x14ac:dyDescent="0.2">
      <c r="A1217" s="39">
        <v>5061</v>
      </c>
      <c r="B1217" s="38" t="s">
        <v>663</v>
      </c>
      <c r="C1217" s="39" t="s">
        <v>654</v>
      </c>
      <c r="D1217" s="74" t="s">
        <v>1227</v>
      </c>
      <c r="E1217" s="74" t="s">
        <v>1224</v>
      </c>
      <c r="F1217" s="74" t="s">
        <v>1226</v>
      </c>
      <c r="G1217" s="74" t="s">
        <v>1226</v>
      </c>
    </row>
    <row r="1218" spans="1:7" x14ac:dyDescent="0.2">
      <c r="A1218" s="39">
        <v>5071</v>
      </c>
      <c r="B1218" s="38" t="s">
        <v>664</v>
      </c>
      <c r="C1218" s="39" t="s">
        <v>654</v>
      </c>
      <c r="D1218" s="74" t="s">
        <v>1227</v>
      </c>
      <c r="E1218" s="74" t="s">
        <v>1224</v>
      </c>
      <c r="F1218" s="74" t="s">
        <v>1226</v>
      </c>
      <c r="G1218" s="74" t="s">
        <v>1226</v>
      </c>
    </row>
    <row r="1219" spans="1:7" x14ac:dyDescent="0.2">
      <c r="A1219" s="39">
        <v>5072</v>
      </c>
      <c r="B1219" s="38" t="s">
        <v>665</v>
      </c>
      <c r="C1219" s="39" t="s">
        <v>654</v>
      </c>
      <c r="D1219" s="74" t="s">
        <v>1229</v>
      </c>
      <c r="E1219" s="74" t="s">
        <v>1224</v>
      </c>
      <c r="F1219" s="74" t="s">
        <v>1225</v>
      </c>
      <c r="G1219" s="74" t="s">
        <v>1226</v>
      </c>
    </row>
    <row r="1220" spans="1:7" x14ac:dyDescent="0.2">
      <c r="A1220" s="39">
        <v>5073</v>
      </c>
      <c r="B1220" s="38" t="s">
        <v>666</v>
      </c>
      <c r="C1220" s="39" t="s">
        <v>654</v>
      </c>
      <c r="D1220" s="74" t="s">
        <v>1229</v>
      </c>
      <c r="E1220" s="74" t="s">
        <v>1224</v>
      </c>
      <c r="F1220" s="74" t="s">
        <v>1225</v>
      </c>
      <c r="G1220" s="74" t="s">
        <v>1226</v>
      </c>
    </row>
    <row r="1221" spans="1:7" x14ac:dyDescent="0.2">
      <c r="A1221" s="39">
        <v>5081</v>
      </c>
      <c r="B1221" s="38" t="s">
        <v>667</v>
      </c>
      <c r="C1221" s="39" t="s">
        <v>654</v>
      </c>
      <c r="D1221" s="74" t="s">
        <v>1227</v>
      </c>
      <c r="E1221" s="74" t="s">
        <v>1224</v>
      </c>
      <c r="F1221" s="74" t="s">
        <v>1226</v>
      </c>
      <c r="G1221" s="74" t="s">
        <v>1226</v>
      </c>
    </row>
    <row r="1222" spans="1:7" x14ac:dyDescent="0.2">
      <c r="A1222" s="39">
        <v>5082</v>
      </c>
      <c r="B1222" s="38" t="s">
        <v>668</v>
      </c>
      <c r="C1222" s="39" t="s">
        <v>654</v>
      </c>
      <c r="D1222" s="74" t="s">
        <v>1227</v>
      </c>
      <c r="E1222" s="74" t="s">
        <v>1224</v>
      </c>
      <c r="F1222" s="74" t="s">
        <v>1226</v>
      </c>
      <c r="G1222" s="74" t="s">
        <v>1226</v>
      </c>
    </row>
    <row r="1223" spans="1:7" x14ac:dyDescent="0.2">
      <c r="A1223" s="39">
        <v>5083</v>
      </c>
      <c r="B1223" s="38" t="s">
        <v>669</v>
      </c>
      <c r="C1223" s="39" t="s">
        <v>654</v>
      </c>
      <c r="D1223" s="74" t="s">
        <v>1227</v>
      </c>
      <c r="E1223" s="74" t="s">
        <v>1224</v>
      </c>
      <c r="F1223" s="74" t="s">
        <v>1226</v>
      </c>
      <c r="G1223" s="74" t="s">
        <v>1226</v>
      </c>
    </row>
    <row r="1224" spans="1:7" x14ac:dyDescent="0.2">
      <c r="A1224" s="39">
        <v>5084</v>
      </c>
      <c r="B1224" s="38" t="s">
        <v>670</v>
      </c>
      <c r="C1224" s="39" t="s">
        <v>654</v>
      </c>
      <c r="D1224" s="74" t="s">
        <v>1227</v>
      </c>
      <c r="E1224" s="74" t="s">
        <v>1224</v>
      </c>
      <c r="F1224" s="74" t="s">
        <v>1226</v>
      </c>
      <c r="G1224" s="74" t="s">
        <v>1226</v>
      </c>
    </row>
    <row r="1225" spans="1:7" x14ac:dyDescent="0.2">
      <c r="A1225" s="39">
        <v>5089</v>
      </c>
      <c r="B1225" s="38" t="s">
        <v>671</v>
      </c>
      <c r="C1225" s="39" t="s">
        <v>654</v>
      </c>
      <c r="D1225" s="74" t="s">
        <v>1229</v>
      </c>
      <c r="E1225" s="74" t="s">
        <v>1224</v>
      </c>
      <c r="F1225" s="74" t="s">
        <v>1225</v>
      </c>
      <c r="G1225" s="74" t="s">
        <v>1226</v>
      </c>
    </row>
    <row r="1226" spans="1:7" x14ac:dyDescent="0.2">
      <c r="A1226" s="39">
        <v>5090</v>
      </c>
      <c r="B1226" s="38" t="s">
        <v>672</v>
      </c>
      <c r="C1226" s="39" t="s">
        <v>654</v>
      </c>
      <c r="D1226" s="74" t="s">
        <v>1227</v>
      </c>
      <c r="E1226" s="74" t="s">
        <v>1224</v>
      </c>
      <c r="F1226" s="74" t="s">
        <v>1226</v>
      </c>
      <c r="G1226" s="74" t="s">
        <v>1226</v>
      </c>
    </row>
    <row r="1227" spans="1:7" x14ac:dyDescent="0.2">
      <c r="A1227" s="39">
        <v>5091</v>
      </c>
      <c r="B1227" s="38" t="s">
        <v>673</v>
      </c>
      <c r="C1227" s="39" t="s">
        <v>654</v>
      </c>
      <c r="D1227" s="74" t="s">
        <v>1227</v>
      </c>
      <c r="E1227" s="74" t="s">
        <v>1224</v>
      </c>
      <c r="F1227" s="74" t="s">
        <v>1226</v>
      </c>
      <c r="G1227" s="74" t="s">
        <v>1226</v>
      </c>
    </row>
    <row r="1228" spans="1:7" x14ac:dyDescent="0.2">
      <c r="A1228" s="39">
        <v>5092</v>
      </c>
      <c r="B1228" s="38" t="s">
        <v>674</v>
      </c>
      <c r="C1228" s="39" t="s">
        <v>654</v>
      </c>
      <c r="D1228" s="74" t="s">
        <v>1227</v>
      </c>
      <c r="E1228" s="74" t="s">
        <v>1224</v>
      </c>
      <c r="F1228" s="74" t="s">
        <v>1226</v>
      </c>
      <c r="G1228" s="74" t="s">
        <v>1225</v>
      </c>
    </row>
    <row r="1229" spans="1:7" x14ac:dyDescent="0.2">
      <c r="A1229" s="39">
        <v>5093</v>
      </c>
      <c r="B1229" s="38" t="s">
        <v>675</v>
      </c>
      <c r="C1229" s="39" t="s">
        <v>654</v>
      </c>
      <c r="D1229" s="74" t="s">
        <v>1227</v>
      </c>
      <c r="E1229" s="74" t="s">
        <v>1224</v>
      </c>
      <c r="F1229" s="74" t="s">
        <v>1226</v>
      </c>
      <c r="G1229" s="74" t="s">
        <v>1225</v>
      </c>
    </row>
    <row r="1230" spans="1:7" x14ac:dyDescent="0.2">
      <c r="A1230" s="39">
        <v>5101</v>
      </c>
      <c r="B1230" s="38" t="s">
        <v>676</v>
      </c>
      <c r="C1230" s="39" t="s">
        <v>654</v>
      </c>
      <c r="D1230" s="74" t="s">
        <v>1227</v>
      </c>
      <c r="E1230" s="74" t="s">
        <v>1224</v>
      </c>
      <c r="F1230" s="74" t="s">
        <v>1226</v>
      </c>
      <c r="G1230" s="74" t="s">
        <v>1226</v>
      </c>
    </row>
    <row r="1231" spans="1:7" x14ac:dyDescent="0.2">
      <c r="A1231" s="39">
        <v>5102</v>
      </c>
      <c r="B1231" s="38" t="s">
        <v>677</v>
      </c>
      <c r="C1231" s="39" t="s">
        <v>654</v>
      </c>
      <c r="D1231" s="74" t="s">
        <v>1227</v>
      </c>
      <c r="E1231" s="74" t="s">
        <v>1224</v>
      </c>
      <c r="F1231" s="74" t="s">
        <v>1226</v>
      </c>
      <c r="G1231" s="74" t="s">
        <v>1226</v>
      </c>
    </row>
    <row r="1232" spans="1:7" x14ac:dyDescent="0.2">
      <c r="A1232" s="39">
        <v>5110</v>
      </c>
      <c r="B1232" s="38" t="s">
        <v>678</v>
      </c>
      <c r="C1232" s="39" t="s">
        <v>654</v>
      </c>
      <c r="D1232" s="74" t="s">
        <v>1227</v>
      </c>
      <c r="E1232" s="74" t="s">
        <v>1224</v>
      </c>
      <c r="F1232" s="74" t="s">
        <v>1226</v>
      </c>
      <c r="G1232" s="74" t="s">
        <v>1226</v>
      </c>
    </row>
    <row r="1233" spans="1:7" x14ac:dyDescent="0.2">
      <c r="A1233" s="39">
        <v>5111</v>
      </c>
      <c r="B1233" s="38" t="s">
        <v>679</v>
      </c>
      <c r="C1233" s="39" t="s">
        <v>654</v>
      </c>
      <c r="D1233" s="74" t="s">
        <v>1227</v>
      </c>
      <c r="E1233" s="74" t="s">
        <v>1224</v>
      </c>
      <c r="F1233" s="74" t="s">
        <v>1226</v>
      </c>
      <c r="G1233" s="74" t="s">
        <v>1226</v>
      </c>
    </row>
    <row r="1234" spans="1:7" x14ac:dyDescent="0.2">
      <c r="A1234" s="39">
        <v>5112</v>
      </c>
      <c r="B1234" s="38" t="s">
        <v>680</v>
      </c>
      <c r="C1234" s="39" t="s">
        <v>654</v>
      </c>
      <c r="D1234" s="74" t="s">
        <v>1227</v>
      </c>
      <c r="E1234" s="74" t="s">
        <v>1224</v>
      </c>
      <c r="F1234" s="74" t="s">
        <v>1226</v>
      </c>
      <c r="G1234" s="74" t="s">
        <v>1226</v>
      </c>
    </row>
    <row r="1235" spans="1:7" x14ac:dyDescent="0.2">
      <c r="A1235" s="39">
        <v>5113</v>
      </c>
      <c r="B1235" s="38" t="s">
        <v>681</v>
      </c>
      <c r="C1235" s="39" t="s">
        <v>654</v>
      </c>
      <c r="D1235" s="74" t="s">
        <v>1227</v>
      </c>
      <c r="E1235" s="74" t="s">
        <v>1224</v>
      </c>
      <c r="F1235" s="74" t="s">
        <v>1226</v>
      </c>
      <c r="G1235" s="74" t="s">
        <v>1225</v>
      </c>
    </row>
    <row r="1236" spans="1:7" x14ac:dyDescent="0.2">
      <c r="A1236" s="39">
        <v>5114</v>
      </c>
      <c r="B1236" s="38" t="s">
        <v>682</v>
      </c>
      <c r="C1236" s="39" t="s">
        <v>654</v>
      </c>
      <c r="D1236" s="74" t="s">
        <v>1227</v>
      </c>
      <c r="E1236" s="74" t="s">
        <v>1224</v>
      </c>
      <c r="F1236" s="74" t="s">
        <v>1226</v>
      </c>
      <c r="G1236" s="74" t="s">
        <v>1225</v>
      </c>
    </row>
    <row r="1237" spans="1:7" x14ac:dyDescent="0.2">
      <c r="A1237" s="39">
        <v>5120</v>
      </c>
      <c r="B1237" s="38" t="s">
        <v>1643</v>
      </c>
      <c r="C1237" s="39" t="s">
        <v>509</v>
      </c>
      <c r="D1237" s="74" t="s">
        <v>1227</v>
      </c>
      <c r="E1237" s="74" t="s">
        <v>1224</v>
      </c>
      <c r="F1237" s="74" t="s">
        <v>1226</v>
      </c>
      <c r="G1237" s="74" t="s">
        <v>1225</v>
      </c>
    </row>
    <row r="1238" spans="1:7" x14ac:dyDescent="0.2">
      <c r="A1238" s="39">
        <v>5121</v>
      </c>
      <c r="B1238" s="38" t="s">
        <v>683</v>
      </c>
      <c r="C1238" s="39" t="s">
        <v>509</v>
      </c>
      <c r="D1238" s="74" t="s">
        <v>1227</v>
      </c>
      <c r="E1238" s="74" t="s">
        <v>1224</v>
      </c>
      <c r="F1238" s="74" t="s">
        <v>1226</v>
      </c>
      <c r="G1238" s="74" t="s">
        <v>1226</v>
      </c>
    </row>
    <row r="1239" spans="1:7" x14ac:dyDescent="0.2">
      <c r="A1239" s="39">
        <v>5122</v>
      </c>
      <c r="B1239" s="38" t="s">
        <v>684</v>
      </c>
      <c r="C1239" s="39" t="s">
        <v>509</v>
      </c>
      <c r="D1239" s="74" t="s">
        <v>1227</v>
      </c>
      <c r="E1239" s="74" t="s">
        <v>1224</v>
      </c>
      <c r="F1239" s="74" t="s">
        <v>1226</v>
      </c>
      <c r="G1239" s="74" t="s">
        <v>1226</v>
      </c>
    </row>
    <row r="1240" spans="1:7" x14ac:dyDescent="0.2">
      <c r="A1240" s="39">
        <v>5131</v>
      </c>
      <c r="B1240" s="38" t="s">
        <v>685</v>
      </c>
      <c r="C1240" s="39" t="s">
        <v>509</v>
      </c>
      <c r="D1240" s="74" t="s">
        <v>1227</v>
      </c>
      <c r="E1240" s="74" t="s">
        <v>1224</v>
      </c>
      <c r="F1240" s="74" t="s">
        <v>1226</v>
      </c>
      <c r="G1240" s="74" t="s">
        <v>1225</v>
      </c>
    </row>
    <row r="1241" spans="1:7" x14ac:dyDescent="0.2">
      <c r="A1241" s="39">
        <v>5132</v>
      </c>
      <c r="B1241" s="38" t="s">
        <v>686</v>
      </c>
      <c r="C1241" s="39" t="s">
        <v>509</v>
      </c>
      <c r="D1241" s="74" t="s">
        <v>1227</v>
      </c>
      <c r="E1241" s="74" t="s">
        <v>1224</v>
      </c>
      <c r="F1241" s="74" t="s">
        <v>1226</v>
      </c>
      <c r="G1241" s="74" t="s">
        <v>1225</v>
      </c>
    </row>
    <row r="1242" spans="1:7" x14ac:dyDescent="0.2">
      <c r="A1242" s="39">
        <v>5133</v>
      </c>
      <c r="B1242" s="38" t="s">
        <v>687</v>
      </c>
      <c r="C1242" s="39" t="s">
        <v>509</v>
      </c>
      <c r="D1242" s="74" t="s">
        <v>1227</v>
      </c>
      <c r="E1242" s="74" t="s">
        <v>1224</v>
      </c>
      <c r="F1242" s="74" t="s">
        <v>1226</v>
      </c>
      <c r="G1242" s="74" t="s">
        <v>1225</v>
      </c>
    </row>
    <row r="1243" spans="1:7" x14ac:dyDescent="0.2">
      <c r="A1243" s="39">
        <v>5134</v>
      </c>
      <c r="B1243" s="38" t="s">
        <v>688</v>
      </c>
      <c r="C1243" s="39" t="s">
        <v>509</v>
      </c>
      <c r="D1243" s="74" t="s">
        <v>1227</v>
      </c>
      <c r="E1243" s="74" t="s">
        <v>1224</v>
      </c>
      <c r="F1243" s="74" t="s">
        <v>1226</v>
      </c>
      <c r="G1243" s="74" t="s">
        <v>1225</v>
      </c>
    </row>
    <row r="1244" spans="1:7" x14ac:dyDescent="0.2">
      <c r="A1244" s="39">
        <v>5141</v>
      </c>
      <c r="B1244" s="38" t="s">
        <v>689</v>
      </c>
      <c r="C1244" s="39" t="s">
        <v>509</v>
      </c>
      <c r="D1244" s="74" t="s">
        <v>1227</v>
      </c>
      <c r="E1244" s="74" t="s">
        <v>1224</v>
      </c>
      <c r="F1244" s="74" t="s">
        <v>1226</v>
      </c>
      <c r="G1244" s="74" t="s">
        <v>1225</v>
      </c>
    </row>
    <row r="1245" spans="1:7" x14ac:dyDescent="0.2">
      <c r="A1245" s="39">
        <v>5142</v>
      </c>
      <c r="B1245" s="38" t="s">
        <v>690</v>
      </c>
      <c r="C1245" s="39" t="s">
        <v>509</v>
      </c>
      <c r="D1245" s="74" t="s">
        <v>1227</v>
      </c>
      <c r="E1245" s="74" t="s">
        <v>1224</v>
      </c>
      <c r="F1245" s="74" t="s">
        <v>1226</v>
      </c>
      <c r="G1245" s="74" t="s">
        <v>1226</v>
      </c>
    </row>
    <row r="1246" spans="1:7" x14ac:dyDescent="0.2">
      <c r="A1246" s="39">
        <v>5143</v>
      </c>
      <c r="B1246" s="38" t="s">
        <v>691</v>
      </c>
      <c r="C1246" s="39" t="s">
        <v>509</v>
      </c>
      <c r="D1246" s="74" t="s">
        <v>1227</v>
      </c>
      <c r="E1246" s="74" t="s">
        <v>1224</v>
      </c>
      <c r="F1246" s="74" t="s">
        <v>1226</v>
      </c>
      <c r="G1246" s="74" t="s">
        <v>1225</v>
      </c>
    </row>
    <row r="1247" spans="1:7" x14ac:dyDescent="0.2">
      <c r="A1247" s="39">
        <v>5144</v>
      </c>
      <c r="B1247" s="38" t="s">
        <v>692</v>
      </c>
      <c r="C1247" s="39" t="s">
        <v>509</v>
      </c>
      <c r="D1247" s="74" t="s">
        <v>1227</v>
      </c>
      <c r="E1247" s="74" t="s">
        <v>1224</v>
      </c>
      <c r="F1247" s="74" t="s">
        <v>1226</v>
      </c>
      <c r="G1247" s="74" t="s">
        <v>1225</v>
      </c>
    </row>
    <row r="1248" spans="1:7" x14ac:dyDescent="0.2">
      <c r="A1248" s="39">
        <v>5145</v>
      </c>
      <c r="B1248" s="38" t="s">
        <v>693</v>
      </c>
      <c r="C1248" s="39" t="s">
        <v>509</v>
      </c>
      <c r="D1248" s="74" t="s">
        <v>1227</v>
      </c>
      <c r="E1248" s="74" t="s">
        <v>1224</v>
      </c>
      <c r="F1248" s="74" t="s">
        <v>1226</v>
      </c>
      <c r="G1248" s="74" t="s">
        <v>1226</v>
      </c>
    </row>
    <row r="1249" spans="1:7" x14ac:dyDescent="0.2">
      <c r="A1249" s="39">
        <v>5151</v>
      </c>
      <c r="B1249" s="38" t="s">
        <v>694</v>
      </c>
      <c r="C1249" s="39" t="s">
        <v>654</v>
      </c>
      <c r="D1249" s="74" t="s">
        <v>1227</v>
      </c>
      <c r="E1249" s="74" t="s">
        <v>1224</v>
      </c>
      <c r="F1249" s="74" t="s">
        <v>1226</v>
      </c>
      <c r="G1249" s="74" t="s">
        <v>1225</v>
      </c>
    </row>
    <row r="1250" spans="1:7" x14ac:dyDescent="0.2">
      <c r="A1250" s="39">
        <v>5152</v>
      </c>
      <c r="B1250" s="38" t="s">
        <v>695</v>
      </c>
      <c r="C1250" s="39" t="s">
        <v>654</v>
      </c>
      <c r="D1250" s="74" t="s">
        <v>1227</v>
      </c>
      <c r="E1250" s="74" t="s">
        <v>1224</v>
      </c>
      <c r="F1250" s="74" t="s">
        <v>1226</v>
      </c>
      <c r="G1250" s="74" t="s">
        <v>1225</v>
      </c>
    </row>
    <row r="1251" spans="1:7" x14ac:dyDescent="0.2">
      <c r="A1251" s="39">
        <v>5161</v>
      </c>
      <c r="B1251" s="38" t="s">
        <v>696</v>
      </c>
      <c r="C1251" s="39" t="s">
        <v>654</v>
      </c>
      <c r="D1251" s="74" t="s">
        <v>1227</v>
      </c>
      <c r="E1251" s="74" t="s">
        <v>1224</v>
      </c>
      <c r="F1251" s="74" t="s">
        <v>1226</v>
      </c>
      <c r="G1251" s="74" t="s">
        <v>1226</v>
      </c>
    </row>
    <row r="1252" spans="1:7" x14ac:dyDescent="0.2">
      <c r="A1252" s="39">
        <v>5162</v>
      </c>
      <c r="B1252" s="38" t="s">
        <v>697</v>
      </c>
      <c r="C1252" s="39" t="s">
        <v>654</v>
      </c>
      <c r="D1252" s="74" t="s">
        <v>1227</v>
      </c>
      <c r="E1252" s="74" t="s">
        <v>1224</v>
      </c>
      <c r="F1252" s="74" t="s">
        <v>1226</v>
      </c>
      <c r="G1252" s="74" t="s">
        <v>1226</v>
      </c>
    </row>
    <row r="1253" spans="1:7" x14ac:dyDescent="0.2">
      <c r="A1253" s="39">
        <v>5163</v>
      </c>
      <c r="B1253" s="38" t="s">
        <v>698</v>
      </c>
      <c r="C1253" s="39" t="s">
        <v>654</v>
      </c>
      <c r="D1253" s="74" t="s">
        <v>1227</v>
      </c>
      <c r="E1253" s="74" t="s">
        <v>1224</v>
      </c>
      <c r="F1253" s="74" t="s">
        <v>1226</v>
      </c>
      <c r="G1253" s="74" t="s">
        <v>1226</v>
      </c>
    </row>
    <row r="1254" spans="1:7" x14ac:dyDescent="0.2">
      <c r="A1254" s="39">
        <v>5164</v>
      </c>
      <c r="B1254" s="38" t="s">
        <v>699</v>
      </c>
      <c r="C1254" s="39" t="s">
        <v>654</v>
      </c>
      <c r="D1254" s="74" t="s">
        <v>1227</v>
      </c>
      <c r="E1254" s="74" t="s">
        <v>1224</v>
      </c>
      <c r="F1254" s="74" t="s">
        <v>1226</v>
      </c>
      <c r="G1254" s="74" t="s">
        <v>1225</v>
      </c>
    </row>
    <row r="1255" spans="1:7" x14ac:dyDescent="0.2">
      <c r="A1255" s="39">
        <v>5165</v>
      </c>
      <c r="B1255" s="38" t="s">
        <v>700</v>
      </c>
      <c r="C1255" s="39" t="s">
        <v>654</v>
      </c>
      <c r="D1255" s="74" t="s">
        <v>1227</v>
      </c>
      <c r="E1255" s="74" t="s">
        <v>1224</v>
      </c>
      <c r="F1255" s="74" t="s">
        <v>1226</v>
      </c>
      <c r="G1255" s="74" t="s">
        <v>1226</v>
      </c>
    </row>
    <row r="1256" spans="1:7" x14ac:dyDescent="0.2">
      <c r="A1256" s="39">
        <v>5201</v>
      </c>
      <c r="B1256" s="38" t="s">
        <v>701</v>
      </c>
      <c r="C1256" s="39" t="s">
        <v>654</v>
      </c>
      <c r="D1256" s="74" t="s">
        <v>1227</v>
      </c>
      <c r="E1256" s="74" t="s">
        <v>1224</v>
      </c>
      <c r="F1256" s="74" t="s">
        <v>1226</v>
      </c>
      <c r="G1256" s="74" t="s">
        <v>1226</v>
      </c>
    </row>
    <row r="1257" spans="1:7" x14ac:dyDescent="0.2">
      <c r="A1257" s="39">
        <v>5202</v>
      </c>
      <c r="B1257" s="38" t="s">
        <v>702</v>
      </c>
      <c r="C1257" s="39" t="s">
        <v>654</v>
      </c>
      <c r="D1257" s="74" t="s">
        <v>1227</v>
      </c>
      <c r="E1257" s="74" t="s">
        <v>1224</v>
      </c>
      <c r="F1257" s="74" t="s">
        <v>1226</v>
      </c>
      <c r="G1257" s="74" t="s">
        <v>1226</v>
      </c>
    </row>
    <row r="1258" spans="1:7" x14ac:dyDescent="0.2">
      <c r="A1258" s="39">
        <v>5203</v>
      </c>
      <c r="B1258" s="38" t="s">
        <v>703</v>
      </c>
      <c r="C1258" s="39" t="s">
        <v>654</v>
      </c>
      <c r="D1258" s="74" t="s">
        <v>1227</v>
      </c>
      <c r="E1258" s="74" t="s">
        <v>1224</v>
      </c>
      <c r="F1258" s="74" t="s">
        <v>1226</v>
      </c>
      <c r="G1258" s="74" t="s">
        <v>1225</v>
      </c>
    </row>
    <row r="1259" spans="1:7" x14ac:dyDescent="0.2">
      <c r="A1259" s="39">
        <v>5204</v>
      </c>
      <c r="B1259" s="38" t="s">
        <v>704</v>
      </c>
      <c r="C1259" s="39" t="s">
        <v>654</v>
      </c>
      <c r="D1259" s="74" t="s">
        <v>1227</v>
      </c>
      <c r="E1259" s="74" t="s">
        <v>1224</v>
      </c>
      <c r="F1259" s="74" t="s">
        <v>1226</v>
      </c>
      <c r="G1259" s="74" t="s">
        <v>1226</v>
      </c>
    </row>
    <row r="1260" spans="1:7" x14ac:dyDescent="0.2">
      <c r="A1260" s="39">
        <v>5205</v>
      </c>
      <c r="B1260" s="38" t="s">
        <v>705</v>
      </c>
      <c r="C1260" s="39" t="s">
        <v>654</v>
      </c>
      <c r="D1260" s="74" t="s">
        <v>1227</v>
      </c>
      <c r="E1260" s="74" t="s">
        <v>1224</v>
      </c>
      <c r="F1260" s="74" t="s">
        <v>1226</v>
      </c>
      <c r="G1260" s="74" t="s">
        <v>1225</v>
      </c>
    </row>
    <row r="1261" spans="1:7" x14ac:dyDescent="0.2">
      <c r="A1261" s="39">
        <v>5211</v>
      </c>
      <c r="B1261" s="38" t="s">
        <v>706</v>
      </c>
      <c r="C1261" s="39" t="s">
        <v>509</v>
      </c>
      <c r="D1261" s="74" t="s">
        <v>1227</v>
      </c>
      <c r="E1261" s="74" t="s">
        <v>1224</v>
      </c>
      <c r="F1261" s="74" t="s">
        <v>1226</v>
      </c>
      <c r="G1261" s="74" t="s">
        <v>1226</v>
      </c>
    </row>
    <row r="1262" spans="1:7" x14ac:dyDescent="0.2">
      <c r="A1262" s="39">
        <v>5212</v>
      </c>
      <c r="B1262" s="38" t="s">
        <v>707</v>
      </c>
      <c r="C1262" s="39" t="s">
        <v>509</v>
      </c>
      <c r="D1262" s="74" t="s">
        <v>1227</v>
      </c>
      <c r="E1262" s="74" t="s">
        <v>1224</v>
      </c>
      <c r="F1262" s="74" t="s">
        <v>1226</v>
      </c>
      <c r="G1262" s="74" t="s">
        <v>1225</v>
      </c>
    </row>
    <row r="1263" spans="1:7" x14ac:dyDescent="0.2">
      <c r="A1263" s="39">
        <v>5221</v>
      </c>
      <c r="B1263" s="38" t="s">
        <v>708</v>
      </c>
      <c r="C1263" s="39" t="s">
        <v>509</v>
      </c>
      <c r="D1263" s="74" t="s">
        <v>1227</v>
      </c>
      <c r="E1263" s="74" t="s">
        <v>1224</v>
      </c>
      <c r="F1263" s="74" t="s">
        <v>1226</v>
      </c>
      <c r="G1263" s="74" t="s">
        <v>1226</v>
      </c>
    </row>
    <row r="1264" spans="1:7" x14ac:dyDescent="0.2">
      <c r="A1264" s="39">
        <v>5222</v>
      </c>
      <c r="B1264" s="38" t="s">
        <v>709</v>
      </c>
      <c r="C1264" s="39" t="s">
        <v>509</v>
      </c>
      <c r="D1264" s="74" t="s">
        <v>1227</v>
      </c>
      <c r="E1264" s="74" t="s">
        <v>1224</v>
      </c>
      <c r="F1264" s="74" t="s">
        <v>1226</v>
      </c>
      <c r="G1264" s="74" t="s">
        <v>1226</v>
      </c>
    </row>
    <row r="1265" spans="1:7" x14ac:dyDescent="0.2">
      <c r="A1265" s="39">
        <v>5223</v>
      </c>
      <c r="B1265" s="38" t="s">
        <v>710</v>
      </c>
      <c r="C1265" s="39" t="s">
        <v>509</v>
      </c>
      <c r="D1265" s="74" t="s">
        <v>1227</v>
      </c>
      <c r="E1265" s="74" t="s">
        <v>1224</v>
      </c>
      <c r="F1265" s="74" t="s">
        <v>1226</v>
      </c>
      <c r="G1265" s="74" t="s">
        <v>1225</v>
      </c>
    </row>
    <row r="1266" spans="1:7" x14ac:dyDescent="0.2">
      <c r="A1266" s="39">
        <v>5224</v>
      </c>
      <c r="B1266" s="38" t="s">
        <v>711</v>
      </c>
      <c r="C1266" s="39" t="s">
        <v>509</v>
      </c>
      <c r="D1266" s="74" t="s">
        <v>1227</v>
      </c>
      <c r="E1266" s="74" t="s">
        <v>1224</v>
      </c>
      <c r="F1266" s="74" t="s">
        <v>1226</v>
      </c>
      <c r="G1266" s="74" t="s">
        <v>1225</v>
      </c>
    </row>
    <row r="1267" spans="1:7" x14ac:dyDescent="0.2">
      <c r="A1267" s="39">
        <v>5225</v>
      </c>
      <c r="B1267" s="38" t="s">
        <v>712</v>
      </c>
      <c r="C1267" s="39" t="s">
        <v>509</v>
      </c>
      <c r="D1267" s="74" t="s">
        <v>1227</v>
      </c>
      <c r="E1267" s="74" t="s">
        <v>1224</v>
      </c>
      <c r="F1267" s="74" t="s">
        <v>1226</v>
      </c>
      <c r="G1267" s="74" t="s">
        <v>1225</v>
      </c>
    </row>
    <row r="1268" spans="1:7" x14ac:dyDescent="0.2">
      <c r="A1268" s="39">
        <v>5230</v>
      </c>
      <c r="B1268" s="38" t="s">
        <v>713</v>
      </c>
      <c r="C1268" s="39" t="s">
        <v>509</v>
      </c>
      <c r="D1268" s="74" t="s">
        <v>1227</v>
      </c>
      <c r="E1268" s="74" t="s">
        <v>1224</v>
      </c>
      <c r="F1268" s="74" t="s">
        <v>1226</v>
      </c>
      <c r="G1268" s="74" t="s">
        <v>1226</v>
      </c>
    </row>
    <row r="1269" spans="1:7" x14ac:dyDescent="0.2">
      <c r="A1269" s="39">
        <v>5231</v>
      </c>
      <c r="B1269" s="38" t="s">
        <v>714</v>
      </c>
      <c r="C1269" s="39" t="s">
        <v>509</v>
      </c>
      <c r="D1269" s="74" t="s">
        <v>1227</v>
      </c>
      <c r="E1269" s="74" t="s">
        <v>1224</v>
      </c>
      <c r="F1269" s="74" t="s">
        <v>1226</v>
      </c>
      <c r="G1269" s="74" t="s">
        <v>1225</v>
      </c>
    </row>
    <row r="1270" spans="1:7" x14ac:dyDescent="0.2">
      <c r="A1270" s="39">
        <v>5232</v>
      </c>
      <c r="B1270" s="38" t="s">
        <v>2026</v>
      </c>
      <c r="C1270" s="39" t="s">
        <v>509</v>
      </c>
      <c r="D1270" s="74" t="s">
        <v>1227</v>
      </c>
      <c r="E1270" s="74" t="s">
        <v>1224</v>
      </c>
      <c r="F1270" s="74" t="s">
        <v>1226</v>
      </c>
      <c r="G1270" s="74" t="s">
        <v>1225</v>
      </c>
    </row>
    <row r="1271" spans="1:7" x14ac:dyDescent="0.2">
      <c r="A1271" s="39">
        <v>5233</v>
      </c>
      <c r="B1271" s="38" t="s">
        <v>2027</v>
      </c>
      <c r="C1271" s="39" t="s">
        <v>509</v>
      </c>
      <c r="D1271" s="74" t="s">
        <v>1227</v>
      </c>
      <c r="E1271" s="74" t="s">
        <v>1224</v>
      </c>
      <c r="F1271" s="74" t="s">
        <v>1226</v>
      </c>
      <c r="G1271" s="74" t="s">
        <v>1225</v>
      </c>
    </row>
    <row r="1272" spans="1:7" x14ac:dyDescent="0.2">
      <c r="A1272" s="39">
        <v>5241</v>
      </c>
      <c r="B1272" s="38" t="s">
        <v>2028</v>
      </c>
      <c r="C1272" s="39" t="s">
        <v>509</v>
      </c>
      <c r="D1272" s="74" t="s">
        <v>1227</v>
      </c>
      <c r="E1272" s="74" t="s">
        <v>1224</v>
      </c>
      <c r="F1272" s="74" t="s">
        <v>1226</v>
      </c>
      <c r="G1272" s="74" t="s">
        <v>1225</v>
      </c>
    </row>
    <row r="1273" spans="1:7" x14ac:dyDescent="0.2">
      <c r="A1273" s="39">
        <v>5242</v>
      </c>
      <c r="B1273" s="38" t="s">
        <v>2029</v>
      </c>
      <c r="C1273" s="39" t="s">
        <v>509</v>
      </c>
      <c r="D1273" s="74" t="s">
        <v>1227</v>
      </c>
      <c r="E1273" s="74" t="s">
        <v>1224</v>
      </c>
      <c r="F1273" s="74" t="s">
        <v>1226</v>
      </c>
      <c r="G1273" s="74" t="s">
        <v>1225</v>
      </c>
    </row>
    <row r="1274" spans="1:7" x14ac:dyDescent="0.2">
      <c r="A1274" s="39">
        <v>5251</v>
      </c>
      <c r="B1274" s="38" t="s">
        <v>2030</v>
      </c>
      <c r="C1274" s="39" t="s">
        <v>509</v>
      </c>
      <c r="D1274" s="74" t="s">
        <v>1227</v>
      </c>
      <c r="E1274" s="74" t="s">
        <v>1224</v>
      </c>
      <c r="F1274" s="74" t="s">
        <v>1226</v>
      </c>
      <c r="G1274" s="74" t="s">
        <v>1226</v>
      </c>
    </row>
    <row r="1275" spans="1:7" x14ac:dyDescent="0.2">
      <c r="A1275" s="39">
        <v>5252</v>
      </c>
      <c r="B1275" s="38" t="s">
        <v>2031</v>
      </c>
      <c r="C1275" s="39" t="s">
        <v>509</v>
      </c>
      <c r="D1275" s="74" t="s">
        <v>1227</v>
      </c>
      <c r="E1275" s="74" t="s">
        <v>1224</v>
      </c>
      <c r="F1275" s="74" t="s">
        <v>1226</v>
      </c>
      <c r="G1275" s="74" t="s">
        <v>1226</v>
      </c>
    </row>
    <row r="1276" spans="1:7" x14ac:dyDescent="0.2">
      <c r="A1276" s="39">
        <v>5261</v>
      </c>
      <c r="B1276" s="38" t="s">
        <v>2032</v>
      </c>
      <c r="C1276" s="39" t="s">
        <v>509</v>
      </c>
      <c r="D1276" s="74" t="s">
        <v>1227</v>
      </c>
      <c r="E1276" s="74" t="s">
        <v>1224</v>
      </c>
      <c r="F1276" s="74" t="s">
        <v>1226</v>
      </c>
      <c r="G1276" s="74" t="s">
        <v>1226</v>
      </c>
    </row>
    <row r="1277" spans="1:7" x14ac:dyDescent="0.2">
      <c r="A1277" s="39">
        <v>5270</v>
      </c>
      <c r="B1277" s="38" t="s">
        <v>2033</v>
      </c>
      <c r="C1277" s="39" t="s">
        <v>509</v>
      </c>
      <c r="D1277" s="74" t="s">
        <v>1227</v>
      </c>
      <c r="E1277" s="74" t="s">
        <v>1224</v>
      </c>
      <c r="F1277" s="74" t="s">
        <v>1226</v>
      </c>
      <c r="G1277" s="74" t="s">
        <v>1226</v>
      </c>
    </row>
    <row r="1278" spans="1:7" x14ac:dyDescent="0.2">
      <c r="A1278" s="39">
        <v>5271</v>
      </c>
      <c r="B1278" s="38" t="s">
        <v>2034</v>
      </c>
      <c r="C1278" s="39" t="s">
        <v>509</v>
      </c>
      <c r="D1278" s="74" t="s">
        <v>1227</v>
      </c>
      <c r="E1278" s="74" t="s">
        <v>1224</v>
      </c>
      <c r="F1278" s="74" t="s">
        <v>1226</v>
      </c>
      <c r="G1278" s="74" t="s">
        <v>1225</v>
      </c>
    </row>
    <row r="1279" spans="1:7" x14ac:dyDescent="0.2">
      <c r="A1279" s="39">
        <v>5272</v>
      </c>
      <c r="B1279" s="38" t="s">
        <v>2035</v>
      </c>
      <c r="C1279" s="39" t="s">
        <v>509</v>
      </c>
      <c r="D1279" s="74" t="s">
        <v>1227</v>
      </c>
      <c r="E1279" s="74" t="s">
        <v>1224</v>
      </c>
      <c r="F1279" s="74" t="s">
        <v>1226</v>
      </c>
      <c r="G1279" s="74" t="s">
        <v>1225</v>
      </c>
    </row>
    <row r="1280" spans="1:7" x14ac:dyDescent="0.2">
      <c r="A1280" s="39">
        <v>5273</v>
      </c>
      <c r="B1280" s="38" t="s">
        <v>2036</v>
      </c>
      <c r="C1280" s="39" t="s">
        <v>509</v>
      </c>
      <c r="D1280" s="74" t="s">
        <v>1227</v>
      </c>
      <c r="E1280" s="74" t="s">
        <v>1224</v>
      </c>
      <c r="F1280" s="74" t="s">
        <v>1226</v>
      </c>
      <c r="G1280" s="74" t="s">
        <v>1225</v>
      </c>
    </row>
    <row r="1281" spans="1:7" x14ac:dyDescent="0.2">
      <c r="A1281" s="39">
        <v>5274</v>
      </c>
      <c r="B1281" s="38" t="s">
        <v>2037</v>
      </c>
      <c r="C1281" s="39" t="s">
        <v>509</v>
      </c>
      <c r="D1281" s="74" t="s">
        <v>1227</v>
      </c>
      <c r="E1281" s="74" t="s">
        <v>1224</v>
      </c>
      <c r="F1281" s="74" t="s">
        <v>1226</v>
      </c>
      <c r="G1281" s="74" t="s">
        <v>1225</v>
      </c>
    </row>
    <row r="1282" spans="1:7" x14ac:dyDescent="0.2">
      <c r="A1282" s="39">
        <v>5280</v>
      </c>
      <c r="B1282" s="38" t="s">
        <v>2038</v>
      </c>
      <c r="C1282" s="39" t="s">
        <v>509</v>
      </c>
      <c r="D1282" s="74" t="s">
        <v>1227</v>
      </c>
      <c r="E1282" s="74" t="s">
        <v>1224</v>
      </c>
      <c r="F1282" s="74" t="s">
        <v>1226</v>
      </c>
      <c r="G1282" s="74" t="s">
        <v>1226</v>
      </c>
    </row>
    <row r="1283" spans="1:7" x14ac:dyDescent="0.2">
      <c r="A1283" s="39">
        <v>5282</v>
      </c>
      <c r="B1283" s="38" t="s">
        <v>2039</v>
      </c>
      <c r="C1283" s="39" t="s">
        <v>509</v>
      </c>
      <c r="D1283" s="74" t="s">
        <v>1227</v>
      </c>
      <c r="E1283" s="74" t="s">
        <v>1224</v>
      </c>
      <c r="F1283" s="74" t="s">
        <v>1226</v>
      </c>
      <c r="G1283" s="74" t="s">
        <v>1226</v>
      </c>
    </row>
    <row r="1284" spans="1:7" x14ac:dyDescent="0.2">
      <c r="A1284" s="39">
        <v>5300</v>
      </c>
      <c r="B1284" s="38" t="s">
        <v>2040</v>
      </c>
      <c r="C1284" s="39" t="s">
        <v>654</v>
      </c>
      <c r="D1284" s="74" t="s">
        <v>1227</v>
      </c>
      <c r="E1284" s="74" t="s">
        <v>1224</v>
      </c>
      <c r="F1284" s="74" t="s">
        <v>1226</v>
      </c>
      <c r="G1284" s="74" t="s">
        <v>1226</v>
      </c>
    </row>
    <row r="1285" spans="1:7" x14ac:dyDescent="0.2">
      <c r="A1285" s="39">
        <v>5301</v>
      </c>
      <c r="B1285" s="38" t="s">
        <v>2041</v>
      </c>
      <c r="C1285" s="39" t="s">
        <v>654</v>
      </c>
      <c r="D1285" s="74" t="s">
        <v>1227</v>
      </c>
      <c r="E1285" s="74" t="s">
        <v>1224</v>
      </c>
      <c r="F1285" s="74" t="s">
        <v>1226</v>
      </c>
      <c r="G1285" s="74" t="s">
        <v>1226</v>
      </c>
    </row>
    <row r="1286" spans="1:7" x14ac:dyDescent="0.2">
      <c r="A1286" s="39">
        <v>5302</v>
      </c>
      <c r="B1286" s="38" t="s">
        <v>2042</v>
      </c>
      <c r="C1286" s="39" t="s">
        <v>654</v>
      </c>
      <c r="D1286" s="74" t="s">
        <v>1227</v>
      </c>
      <c r="E1286" s="74" t="s">
        <v>1224</v>
      </c>
      <c r="F1286" s="74" t="s">
        <v>1226</v>
      </c>
      <c r="G1286" s="74" t="s">
        <v>1226</v>
      </c>
    </row>
    <row r="1287" spans="1:7" x14ac:dyDescent="0.2">
      <c r="A1287" s="39">
        <v>5303</v>
      </c>
      <c r="B1287" s="38" t="s">
        <v>2043</v>
      </c>
      <c r="C1287" s="39" t="s">
        <v>654</v>
      </c>
      <c r="D1287" s="74" t="s">
        <v>1227</v>
      </c>
      <c r="E1287" s="74" t="s">
        <v>1224</v>
      </c>
      <c r="F1287" s="74" t="s">
        <v>1226</v>
      </c>
      <c r="G1287" s="74" t="s">
        <v>1226</v>
      </c>
    </row>
    <row r="1288" spans="1:7" x14ac:dyDescent="0.2">
      <c r="A1288" s="39">
        <v>5310</v>
      </c>
      <c r="B1288" s="38" t="s">
        <v>210</v>
      </c>
      <c r="C1288" s="39" t="s">
        <v>509</v>
      </c>
      <c r="D1288" s="74" t="s">
        <v>1227</v>
      </c>
      <c r="E1288" s="74" t="s">
        <v>1224</v>
      </c>
      <c r="F1288" s="74" t="s">
        <v>1226</v>
      </c>
      <c r="G1288" s="74" t="s">
        <v>1226</v>
      </c>
    </row>
    <row r="1289" spans="1:7" x14ac:dyDescent="0.2">
      <c r="A1289" s="39">
        <v>5311</v>
      </c>
      <c r="B1289" s="38" t="s">
        <v>2044</v>
      </c>
      <c r="C1289" s="39" t="s">
        <v>509</v>
      </c>
      <c r="D1289" s="74" t="s">
        <v>1227</v>
      </c>
      <c r="E1289" s="74" t="s">
        <v>1224</v>
      </c>
      <c r="F1289" s="74" t="s">
        <v>1226</v>
      </c>
      <c r="G1289" s="74" t="s">
        <v>1225</v>
      </c>
    </row>
    <row r="1290" spans="1:7" x14ac:dyDescent="0.2">
      <c r="A1290" s="39">
        <v>5321</v>
      </c>
      <c r="B1290" s="38" t="s">
        <v>2045</v>
      </c>
      <c r="C1290" s="39" t="s">
        <v>654</v>
      </c>
      <c r="D1290" s="74" t="s">
        <v>1227</v>
      </c>
      <c r="E1290" s="74" t="s">
        <v>1224</v>
      </c>
      <c r="F1290" s="74" t="s">
        <v>1226</v>
      </c>
      <c r="G1290" s="74" t="s">
        <v>1225</v>
      </c>
    </row>
    <row r="1291" spans="1:7" x14ac:dyDescent="0.2">
      <c r="A1291" s="39">
        <v>5322</v>
      </c>
      <c r="B1291" s="38" t="s">
        <v>2046</v>
      </c>
      <c r="C1291" s="39" t="s">
        <v>654</v>
      </c>
      <c r="D1291" s="74" t="s">
        <v>1227</v>
      </c>
      <c r="E1291" s="74" t="s">
        <v>1224</v>
      </c>
      <c r="F1291" s="74" t="s">
        <v>1226</v>
      </c>
      <c r="G1291" s="74" t="s">
        <v>1226</v>
      </c>
    </row>
    <row r="1292" spans="1:7" x14ac:dyDescent="0.2">
      <c r="A1292" s="39">
        <v>5323</v>
      </c>
      <c r="B1292" s="38" t="s">
        <v>2047</v>
      </c>
      <c r="C1292" s="39" t="s">
        <v>654</v>
      </c>
      <c r="D1292" s="74" t="s">
        <v>1227</v>
      </c>
      <c r="E1292" s="74" t="s">
        <v>1224</v>
      </c>
      <c r="F1292" s="74" t="s">
        <v>1226</v>
      </c>
      <c r="G1292" s="74" t="s">
        <v>1225</v>
      </c>
    </row>
    <row r="1293" spans="1:7" x14ac:dyDescent="0.2">
      <c r="A1293" s="39">
        <v>5324</v>
      </c>
      <c r="B1293" s="38" t="s">
        <v>2048</v>
      </c>
      <c r="C1293" s="39" t="s">
        <v>654</v>
      </c>
      <c r="D1293" s="74" t="s">
        <v>1227</v>
      </c>
      <c r="E1293" s="74" t="s">
        <v>1224</v>
      </c>
      <c r="F1293" s="74" t="s">
        <v>1226</v>
      </c>
      <c r="G1293" s="74" t="s">
        <v>1226</v>
      </c>
    </row>
    <row r="1294" spans="1:7" x14ac:dyDescent="0.2">
      <c r="A1294" s="39">
        <v>5325</v>
      </c>
      <c r="B1294" s="38" t="s">
        <v>2049</v>
      </c>
      <c r="C1294" s="39" t="s">
        <v>654</v>
      </c>
      <c r="D1294" s="74" t="s">
        <v>1227</v>
      </c>
      <c r="E1294" s="74" t="s">
        <v>1224</v>
      </c>
      <c r="F1294" s="74" t="s">
        <v>1226</v>
      </c>
      <c r="G1294" s="74" t="s">
        <v>1225</v>
      </c>
    </row>
    <row r="1295" spans="1:7" x14ac:dyDescent="0.2">
      <c r="A1295" s="39">
        <v>5330</v>
      </c>
      <c r="B1295" s="38" t="s">
        <v>2050</v>
      </c>
      <c r="C1295" s="39" t="s">
        <v>654</v>
      </c>
      <c r="D1295" s="74" t="s">
        <v>1227</v>
      </c>
      <c r="E1295" s="74" t="s">
        <v>1224</v>
      </c>
      <c r="F1295" s="74" t="s">
        <v>1226</v>
      </c>
      <c r="G1295" s="74" t="s">
        <v>1226</v>
      </c>
    </row>
    <row r="1296" spans="1:7" x14ac:dyDescent="0.2">
      <c r="A1296" s="39">
        <v>5340</v>
      </c>
      <c r="B1296" s="38" t="s">
        <v>2051</v>
      </c>
      <c r="C1296" s="39" t="s">
        <v>654</v>
      </c>
      <c r="D1296" s="74" t="s">
        <v>1227</v>
      </c>
      <c r="E1296" s="74" t="s">
        <v>1224</v>
      </c>
      <c r="F1296" s="74" t="s">
        <v>1226</v>
      </c>
      <c r="G1296" s="74" t="s">
        <v>1226</v>
      </c>
    </row>
    <row r="1297" spans="1:7" x14ac:dyDescent="0.2">
      <c r="A1297" s="39">
        <v>5342</v>
      </c>
      <c r="B1297" s="38" t="s">
        <v>2052</v>
      </c>
      <c r="C1297" s="39" t="s">
        <v>654</v>
      </c>
      <c r="D1297" s="74" t="s">
        <v>1227</v>
      </c>
      <c r="E1297" s="74" t="s">
        <v>1224</v>
      </c>
      <c r="F1297" s="74" t="s">
        <v>1226</v>
      </c>
      <c r="G1297" s="74" t="s">
        <v>1225</v>
      </c>
    </row>
    <row r="1298" spans="1:7" x14ac:dyDescent="0.2">
      <c r="A1298" s="39">
        <v>5350</v>
      </c>
      <c r="B1298" s="38" t="s">
        <v>2053</v>
      </c>
      <c r="C1298" s="39" t="s">
        <v>654</v>
      </c>
      <c r="D1298" s="74" t="s">
        <v>1227</v>
      </c>
      <c r="E1298" s="74" t="s">
        <v>1224</v>
      </c>
      <c r="F1298" s="74" t="s">
        <v>1226</v>
      </c>
      <c r="G1298" s="74" t="s">
        <v>1226</v>
      </c>
    </row>
    <row r="1299" spans="1:7" x14ac:dyDescent="0.2">
      <c r="A1299" s="39">
        <v>5351</v>
      </c>
      <c r="B1299" s="38" t="s">
        <v>2054</v>
      </c>
      <c r="C1299" s="39" t="s">
        <v>654</v>
      </c>
      <c r="D1299" s="74" t="s">
        <v>1227</v>
      </c>
      <c r="E1299" s="74" t="s">
        <v>1224</v>
      </c>
      <c r="F1299" s="74" t="s">
        <v>1226</v>
      </c>
      <c r="G1299" s="74" t="s">
        <v>1225</v>
      </c>
    </row>
    <row r="1300" spans="1:7" x14ac:dyDescent="0.2">
      <c r="A1300" s="39">
        <v>5360</v>
      </c>
      <c r="B1300" s="38" t="s">
        <v>2055</v>
      </c>
      <c r="C1300" s="39" t="s">
        <v>509</v>
      </c>
      <c r="D1300" s="74" t="s">
        <v>1227</v>
      </c>
      <c r="E1300" s="74" t="s">
        <v>1224</v>
      </c>
      <c r="F1300" s="74" t="s">
        <v>1226</v>
      </c>
      <c r="G1300" s="74" t="s">
        <v>1226</v>
      </c>
    </row>
    <row r="1301" spans="1:7" x14ac:dyDescent="0.2">
      <c r="A1301" s="39">
        <v>5400</v>
      </c>
      <c r="B1301" s="38" t="s">
        <v>2056</v>
      </c>
      <c r="C1301" s="39" t="s">
        <v>654</v>
      </c>
      <c r="D1301" s="74" t="s">
        <v>1227</v>
      </c>
      <c r="E1301" s="74" t="s">
        <v>1224</v>
      </c>
      <c r="F1301" s="74" t="s">
        <v>1226</v>
      </c>
      <c r="G1301" s="74" t="s">
        <v>1226</v>
      </c>
    </row>
    <row r="1302" spans="1:7" x14ac:dyDescent="0.2">
      <c r="A1302" s="39">
        <v>5409</v>
      </c>
      <c r="B1302" s="38" t="s">
        <v>2056</v>
      </c>
      <c r="C1302" s="39" t="s">
        <v>654</v>
      </c>
      <c r="D1302" s="74" t="s">
        <v>1229</v>
      </c>
      <c r="E1302" s="74" t="s">
        <v>1224</v>
      </c>
      <c r="F1302" s="74" t="s">
        <v>1225</v>
      </c>
      <c r="G1302" s="74" t="s">
        <v>1226</v>
      </c>
    </row>
    <row r="1303" spans="1:7" x14ac:dyDescent="0.2">
      <c r="A1303" s="39">
        <v>5411</v>
      </c>
      <c r="B1303" s="38" t="s">
        <v>2057</v>
      </c>
      <c r="C1303" s="39" t="s">
        <v>654</v>
      </c>
      <c r="D1303" s="74" t="s">
        <v>1227</v>
      </c>
      <c r="E1303" s="74" t="s">
        <v>1224</v>
      </c>
      <c r="F1303" s="74" t="s">
        <v>1226</v>
      </c>
      <c r="G1303" s="74" t="s">
        <v>1226</v>
      </c>
    </row>
    <row r="1304" spans="1:7" x14ac:dyDescent="0.2">
      <c r="A1304" s="39">
        <v>5412</v>
      </c>
      <c r="B1304" s="38" t="s">
        <v>2058</v>
      </c>
      <c r="C1304" s="39" t="s">
        <v>654</v>
      </c>
      <c r="D1304" s="74" t="s">
        <v>1227</v>
      </c>
      <c r="E1304" s="74" t="s">
        <v>1224</v>
      </c>
      <c r="F1304" s="74" t="s">
        <v>1226</v>
      </c>
      <c r="G1304" s="74" t="s">
        <v>1226</v>
      </c>
    </row>
    <row r="1305" spans="1:7" x14ac:dyDescent="0.2">
      <c r="A1305" s="39">
        <v>5421</v>
      </c>
      <c r="B1305" s="38" t="s">
        <v>2059</v>
      </c>
      <c r="C1305" s="39" t="s">
        <v>654</v>
      </c>
      <c r="D1305" s="74" t="s">
        <v>1227</v>
      </c>
      <c r="E1305" s="74" t="s">
        <v>1224</v>
      </c>
      <c r="F1305" s="74" t="s">
        <v>1226</v>
      </c>
      <c r="G1305" s="74" t="s">
        <v>1226</v>
      </c>
    </row>
    <row r="1306" spans="1:7" x14ac:dyDescent="0.2">
      <c r="A1306" s="39">
        <v>5422</v>
      </c>
      <c r="B1306" s="38" t="s">
        <v>2060</v>
      </c>
      <c r="C1306" s="39" t="s">
        <v>654</v>
      </c>
      <c r="D1306" s="74" t="s">
        <v>1227</v>
      </c>
      <c r="E1306" s="74" t="s">
        <v>1224</v>
      </c>
      <c r="F1306" s="74" t="s">
        <v>1226</v>
      </c>
      <c r="G1306" s="74" t="s">
        <v>1225</v>
      </c>
    </row>
    <row r="1307" spans="1:7" x14ac:dyDescent="0.2">
      <c r="A1307" s="39">
        <v>5423</v>
      </c>
      <c r="B1307" s="38" t="s">
        <v>2061</v>
      </c>
      <c r="C1307" s="39" t="s">
        <v>654</v>
      </c>
      <c r="D1307" s="74" t="s">
        <v>1227</v>
      </c>
      <c r="E1307" s="74" t="s">
        <v>1224</v>
      </c>
      <c r="F1307" s="74" t="s">
        <v>1226</v>
      </c>
      <c r="G1307" s="74" t="s">
        <v>1225</v>
      </c>
    </row>
    <row r="1308" spans="1:7" x14ac:dyDescent="0.2">
      <c r="A1308" s="39">
        <v>5424</v>
      </c>
      <c r="B1308" s="38" t="s">
        <v>2062</v>
      </c>
      <c r="C1308" s="39" t="s">
        <v>654</v>
      </c>
      <c r="D1308" s="74" t="s">
        <v>1227</v>
      </c>
      <c r="E1308" s="74" t="s">
        <v>1224</v>
      </c>
      <c r="F1308" s="74" t="s">
        <v>1226</v>
      </c>
      <c r="G1308" s="74" t="s">
        <v>1225</v>
      </c>
    </row>
    <row r="1309" spans="1:7" x14ac:dyDescent="0.2">
      <c r="A1309" s="39">
        <v>5431</v>
      </c>
      <c r="B1309" s="38" t="s">
        <v>2063</v>
      </c>
      <c r="C1309" s="39" t="s">
        <v>654</v>
      </c>
      <c r="D1309" s="74" t="s">
        <v>1227</v>
      </c>
      <c r="E1309" s="74" t="s">
        <v>1224</v>
      </c>
      <c r="F1309" s="74" t="s">
        <v>1226</v>
      </c>
      <c r="G1309" s="74" t="s">
        <v>1226</v>
      </c>
    </row>
    <row r="1310" spans="1:7" x14ac:dyDescent="0.2">
      <c r="A1310" s="39">
        <v>5440</v>
      </c>
      <c r="B1310" s="38" t="s">
        <v>2064</v>
      </c>
      <c r="C1310" s="39" t="s">
        <v>654</v>
      </c>
      <c r="D1310" s="74" t="s">
        <v>1227</v>
      </c>
      <c r="E1310" s="74" t="s">
        <v>1224</v>
      </c>
      <c r="F1310" s="74" t="s">
        <v>1226</v>
      </c>
      <c r="G1310" s="74" t="s">
        <v>1226</v>
      </c>
    </row>
    <row r="1311" spans="1:7" x14ac:dyDescent="0.2">
      <c r="A1311" s="39">
        <v>5441</v>
      </c>
      <c r="B1311" s="38" t="s">
        <v>2065</v>
      </c>
      <c r="C1311" s="39" t="s">
        <v>654</v>
      </c>
      <c r="D1311" s="74" t="s">
        <v>1227</v>
      </c>
      <c r="E1311" s="74" t="s">
        <v>1224</v>
      </c>
      <c r="F1311" s="74" t="s">
        <v>1226</v>
      </c>
      <c r="G1311" s="74" t="s">
        <v>1226</v>
      </c>
    </row>
    <row r="1312" spans="1:7" x14ac:dyDescent="0.2">
      <c r="A1312" s="39">
        <v>5442</v>
      </c>
      <c r="B1312" s="38" t="s">
        <v>2066</v>
      </c>
      <c r="C1312" s="39" t="s">
        <v>654</v>
      </c>
      <c r="D1312" s="74" t="s">
        <v>1227</v>
      </c>
      <c r="E1312" s="74" t="s">
        <v>1224</v>
      </c>
      <c r="F1312" s="74" t="s">
        <v>1226</v>
      </c>
      <c r="G1312" s="74" t="s">
        <v>1225</v>
      </c>
    </row>
    <row r="1313" spans="1:7" x14ac:dyDescent="0.2">
      <c r="A1313" s="39">
        <v>5450</v>
      </c>
      <c r="B1313" s="38" t="s">
        <v>2067</v>
      </c>
      <c r="C1313" s="39" t="s">
        <v>654</v>
      </c>
      <c r="D1313" s="74" t="s">
        <v>1227</v>
      </c>
      <c r="E1313" s="74" t="s">
        <v>1224</v>
      </c>
      <c r="F1313" s="74" t="s">
        <v>1226</v>
      </c>
      <c r="G1313" s="74" t="s">
        <v>1226</v>
      </c>
    </row>
    <row r="1314" spans="1:7" x14ac:dyDescent="0.2">
      <c r="A1314" s="39">
        <v>5451</v>
      </c>
      <c r="B1314" s="38" t="s">
        <v>2068</v>
      </c>
      <c r="C1314" s="39" t="s">
        <v>654</v>
      </c>
      <c r="D1314" s="74" t="s">
        <v>1227</v>
      </c>
      <c r="E1314" s="74" t="s">
        <v>1224</v>
      </c>
      <c r="F1314" s="74" t="s">
        <v>1226</v>
      </c>
      <c r="G1314" s="74" t="s">
        <v>1225</v>
      </c>
    </row>
    <row r="1315" spans="1:7" x14ac:dyDescent="0.2">
      <c r="A1315" s="39">
        <v>5452</v>
      </c>
      <c r="B1315" s="38" t="s">
        <v>2069</v>
      </c>
      <c r="C1315" s="39" t="s">
        <v>654</v>
      </c>
      <c r="D1315" s="74" t="s">
        <v>1227</v>
      </c>
      <c r="E1315" s="74" t="s">
        <v>1224</v>
      </c>
      <c r="F1315" s="74" t="s">
        <v>1226</v>
      </c>
      <c r="G1315" s="74" t="s">
        <v>1226</v>
      </c>
    </row>
    <row r="1316" spans="1:7" x14ac:dyDescent="0.2">
      <c r="A1316" s="39">
        <v>5453</v>
      </c>
      <c r="B1316" s="38" t="s">
        <v>2070</v>
      </c>
      <c r="C1316" s="39" t="s">
        <v>654</v>
      </c>
      <c r="D1316" s="74" t="s">
        <v>1227</v>
      </c>
      <c r="E1316" s="74" t="s">
        <v>1224</v>
      </c>
      <c r="F1316" s="74" t="s">
        <v>1226</v>
      </c>
      <c r="G1316" s="74" t="s">
        <v>1225</v>
      </c>
    </row>
    <row r="1317" spans="1:7" x14ac:dyDescent="0.2">
      <c r="A1317" s="39">
        <v>5500</v>
      </c>
      <c r="B1317" s="38" t="s">
        <v>2071</v>
      </c>
      <c r="C1317" s="39" t="s">
        <v>654</v>
      </c>
      <c r="D1317" s="74" t="s">
        <v>1227</v>
      </c>
      <c r="E1317" s="74" t="s">
        <v>1224</v>
      </c>
      <c r="F1317" s="74" t="s">
        <v>1226</v>
      </c>
      <c r="G1317" s="74" t="s">
        <v>1226</v>
      </c>
    </row>
    <row r="1318" spans="1:7" x14ac:dyDescent="0.2">
      <c r="A1318" s="39">
        <v>5505</v>
      </c>
      <c r="B1318" s="38" t="s">
        <v>2072</v>
      </c>
      <c r="C1318" s="39" t="s">
        <v>654</v>
      </c>
      <c r="D1318" s="74" t="s">
        <v>1227</v>
      </c>
      <c r="E1318" s="74" t="s">
        <v>1224</v>
      </c>
      <c r="F1318" s="74" t="s">
        <v>1226</v>
      </c>
      <c r="G1318" s="74" t="s">
        <v>1226</v>
      </c>
    </row>
    <row r="1319" spans="1:7" x14ac:dyDescent="0.2">
      <c r="A1319" s="39">
        <v>5511</v>
      </c>
      <c r="B1319" s="38" t="s">
        <v>2073</v>
      </c>
      <c r="C1319" s="39" t="s">
        <v>654</v>
      </c>
      <c r="D1319" s="74" t="s">
        <v>1227</v>
      </c>
      <c r="E1319" s="74" t="s">
        <v>1224</v>
      </c>
      <c r="F1319" s="74" t="s">
        <v>1226</v>
      </c>
      <c r="G1319" s="74" t="s">
        <v>1225</v>
      </c>
    </row>
    <row r="1320" spans="1:7" x14ac:dyDescent="0.2">
      <c r="A1320" s="39">
        <v>5521</v>
      </c>
      <c r="B1320" s="38" t="s">
        <v>2074</v>
      </c>
      <c r="C1320" s="39" t="s">
        <v>654</v>
      </c>
      <c r="D1320" s="74" t="s">
        <v>1227</v>
      </c>
      <c r="E1320" s="74" t="s">
        <v>1224</v>
      </c>
      <c r="F1320" s="74" t="s">
        <v>1226</v>
      </c>
      <c r="G1320" s="74" t="s">
        <v>1225</v>
      </c>
    </row>
    <row r="1321" spans="1:7" x14ac:dyDescent="0.2">
      <c r="A1321" s="39">
        <v>5522</v>
      </c>
      <c r="B1321" s="38" t="s">
        <v>2075</v>
      </c>
      <c r="C1321" s="39" t="s">
        <v>654</v>
      </c>
      <c r="D1321" s="74" t="s">
        <v>1227</v>
      </c>
      <c r="E1321" s="74" t="s">
        <v>1224</v>
      </c>
      <c r="F1321" s="74" t="s">
        <v>1226</v>
      </c>
      <c r="G1321" s="74" t="s">
        <v>1226</v>
      </c>
    </row>
    <row r="1322" spans="1:7" x14ac:dyDescent="0.2">
      <c r="A1322" s="39">
        <v>5523</v>
      </c>
      <c r="B1322" s="38" t="s">
        <v>2076</v>
      </c>
      <c r="C1322" s="39" t="s">
        <v>654</v>
      </c>
      <c r="D1322" s="74" t="s">
        <v>1227</v>
      </c>
      <c r="E1322" s="74" t="s">
        <v>1224</v>
      </c>
      <c r="F1322" s="74" t="s">
        <v>1226</v>
      </c>
      <c r="G1322" s="74" t="s">
        <v>1225</v>
      </c>
    </row>
    <row r="1323" spans="1:7" x14ac:dyDescent="0.2">
      <c r="A1323" s="39">
        <v>5524</v>
      </c>
      <c r="B1323" s="38" t="s">
        <v>468</v>
      </c>
      <c r="C1323" s="39" t="s">
        <v>654</v>
      </c>
      <c r="D1323" s="74" t="s">
        <v>1227</v>
      </c>
      <c r="E1323" s="74" t="s">
        <v>1224</v>
      </c>
      <c r="F1323" s="74" t="s">
        <v>1226</v>
      </c>
      <c r="G1323" s="74" t="s">
        <v>1226</v>
      </c>
    </row>
    <row r="1324" spans="1:7" x14ac:dyDescent="0.2">
      <c r="A1324" s="39">
        <v>5531</v>
      </c>
      <c r="B1324" s="38" t="s">
        <v>2077</v>
      </c>
      <c r="C1324" s="39" t="s">
        <v>654</v>
      </c>
      <c r="D1324" s="74" t="s">
        <v>1227</v>
      </c>
      <c r="E1324" s="74" t="s">
        <v>1224</v>
      </c>
      <c r="F1324" s="74" t="s">
        <v>1226</v>
      </c>
      <c r="G1324" s="74" t="s">
        <v>1226</v>
      </c>
    </row>
    <row r="1325" spans="1:7" x14ac:dyDescent="0.2">
      <c r="A1325" s="39">
        <v>5532</v>
      </c>
      <c r="B1325" s="38" t="s">
        <v>2078</v>
      </c>
      <c r="C1325" s="39" t="s">
        <v>654</v>
      </c>
      <c r="D1325" s="74" t="s">
        <v>1227</v>
      </c>
      <c r="E1325" s="74" t="s">
        <v>1224</v>
      </c>
      <c r="F1325" s="74" t="s">
        <v>1226</v>
      </c>
      <c r="G1325" s="74" t="s">
        <v>1226</v>
      </c>
    </row>
    <row r="1326" spans="1:7" x14ac:dyDescent="0.2">
      <c r="A1326" s="39">
        <v>5541</v>
      </c>
      <c r="B1326" s="38" t="s">
        <v>2079</v>
      </c>
      <c r="C1326" s="39" t="s">
        <v>654</v>
      </c>
      <c r="D1326" s="74" t="s">
        <v>1227</v>
      </c>
      <c r="E1326" s="74" t="s">
        <v>1224</v>
      </c>
      <c r="F1326" s="74" t="s">
        <v>1226</v>
      </c>
      <c r="G1326" s="74" t="s">
        <v>1226</v>
      </c>
    </row>
    <row r="1327" spans="1:7" x14ac:dyDescent="0.2">
      <c r="A1327" s="39">
        <v>5542</v>
      </c>
      <c r="B1327" s="38" t="s">
        <v>2080</v>
      </c>
      <c r="C1327" s="39" t="s">
        <v>654</v>
      </c>
      <c r="D1327" s="74" t="s">
        <v>1227</v>
      </c>
      <c r="E1327" s="74" t="s">
        <v>1224</v>
      </c>
      <c r="F1327" s="74" t="s">
        <v>1226</v>
      </c>
      <c r="G1327" s="74" t="s">
        <v>1226</v>
      </c>
    </row>
    <row r="1328" spans="1:7" x14ac:dyDescent="0.2">
      <c r="A1328" s="39">
        <v>5550</v>
      </c>
      <c r="B1328" s="38" t="s">
        <v>2081</v>
      </c>
      <c r="C1328" s="39" t="s">
        <v>654</v>
      </c>
      <c r="D1328" s="74" t="s">
        <v>1227</v>
      </c>
      <c r="E1328" s="74" t="s">
        <v>1224</v>
      </c>
      <c r="F1328" s="74" t="s">
        <v>1226</v>
      </c>
      <c r="G1328" s="74" t="s">
        <v>1226</v>
      </c>
    </row>
    <row r="1329" spans="1:7" x14ac:dyDescent="0.2">
      <c r="A1329" s="39">
        <v>5552</v>
      </c>
      <c r="B1329" s="38" t="s">
        <v>2267</v>
      </c>
      <c r="C1329" s="39" t="s">
        <v>654</v>
      </c>
      <c r="D1329" s="74" t="s">
        <v>1227</v>
      </c>
      <c r="E1329" s="74" t="s">
        <v>1224</v>
      </c>
      <c r="F1329" s="74" t="s">
        <v>1226</v>
      </c>
      <c r="G1329" s="74" t="s">
        <v>1225</v>
      </c>
    </row>
    <row r="1330" spans="1:7" x14ac:dyDescent="0.2">
      <c r="A1330" s="39">
        <v>5561</v>
      </c>
      <c r="B1330" s="38" t="s">
        <v>2268</v>
      </c>
      <c r="C1330" s="39" t="s">
        <v>654</v>
      </c>
      <c r="D1330" s="74" t="s">
        <v>1227</v>
      </c>
      <c r="E1330" s="74" t="s">
        <v>1224</v>
      </c>
      <c r="F1330" s="74" t="s">
        <v>1226</v>
      </c>
      <c r="G1330" s="74" t="s">
        <v>1225</v>
      </c>
    </row>
    <row r="1331" spans="1:7" x14ac:dyDescent="0.2">
      <c r="A1331" s="39">
        <v>5562</v>
      </c>
      <c r="B1331" s="38" t="s">
        <v>2269</v>
      </c>
      <c r="C1331" s="39" t="s">
        <v>654</v>
      </c>
      <c r="D1331" s="74" t="s">
        <v>1227</v>
      </c>
      <c r="E1331" s="74" t="s">
        <v>1224</v>
      </c>
      <c r="F1331" s="74" t="s">
        <v>1226</v>
      </c>
      <c r="G1331" s="74" t="s">
        <v>1226</v>
      </c>
    </row>
    <row r="1332" spans="1:7" x14ac:dyDescent="0.2">
      <c r="A1332" s="39">
        <v>5563</v>
      </c>
      <c r="B1332" s="38" t="s">
        <v>2270</v>
      </c>
      <c r="C1332" s="39" t="s">
        <v>654</v>
      </c>
      <c r="D1332" s="74" t="s">
        <v>1227</v>
      </c>
      <c r="E1332" s="74" t="s">
        <v>1224</v>
      </c>
      <c r="F1332" s="74" t="s">
        <v>1226</v>
      </c>
      <c r="G1332" s="74" t="s">
        <v>1225</v>
      </c>
    </row>
    <row r="1333" spans="1:7" x14ac:dyDescent="0.2">
      <c r="A1333" s="39">
        <v>5570</v>
      </c>
      <c r="B1333" s="38" t="s">
        <v>2271</v>
      </c>
      <c r="C1333" s="39" t="s">
        <v>654</v>
      </c>
      <c r="D1333" s="74" t="s">
        <v>1227</v>
      </c>
      <c r="E1333" s="74" t="s">
        <v>1224</v>
      </c>
      <c r="F1333" s="74" t="s">
        <v>1226</v>
      </c>
      <c r="G1333" s="74" t="s">
        <v>1226</v>
      </c>
    </row>
    <row r="1334" spans="1:7" x14ac:dyDescent="0.2">
      <c r="A1334" s="39">
        <v>5571</v>
      </c>
      <c r="B1334" s="38" t="s">
        <v>2272</v>
      </c>
      <c r="C1334" s="39" t="s">
        <v>654</v>
      </c>
      <c r="D1334" s="74" t="s">
        <v>1227</v>
      </c>
      <c r="E1334" s="74" t="s">
        <v>1224</v>
      </c>
      <c r="F1334" s="74" t="s">
        <v>1226</v>
      </c>
      <c r="G1334" s="74" t="s">
        <v>1226</v>
      </c>
    </row>
    <row r="1335" spans="1:7" x14ac:dyDescent="0.2">
      <c r="A1335" s="39">
        <v>5572</v>
      </c>
      <c r="B1335" s="38" t="s">
        <v>2273</v>
      </c>
      <c r="C1335" s="39" t="s">
        <v>654</v>
      </c>
      <c r="D1335" s="74" t="s">
        <v>1227</v>
      </c>
      <c r="E1335" s="74" t="s">
        <v>1224</v>
      </c>
      <c r="F1335" s="74" t="s">
        <v>1226</v>
      </c>
      <c r="G1335" s="74" t="s">
        <v>1225</v>
      </c>
    </row>
    <row r="1336" spans="1:7" x14ac:dyDescent="0.2">
      <c r="A1336" s="39">
        <v>5573</v>
      </c>
      <c r="B1336" s="38" t="s">
        <v>2274</v>
      </c>
      <c r="C1336" s="39" t="s">
        <v>654</v>
      </c>
      <c r="D1336" s="74" t="s">
        <v>1227</v>
      </c>
      <c r="E1336" s="74" t="s">
        <v>1224</v>
      </c>
      <c r="F1336" s="74" t="s">
        <v>1226</v>
      </c>
      <c r="G1336" s="74" t="s">
        <v>1225</v>
      </c>
    </row>
    <row r="1337" spans="1:7" x14ac:dyDescent="0.2">
      <c r="A1337" s="39">
        <v>5580</v>
      </c>
      <c r="B1337" s="38" t="s">
        <v>2275</v>
      </c>
      <c r="C1337" s="39" t="s">
        <v>654</v>
      </c>
      <c r="D1337" s="74" t="s">
        <v>1227</v>
      </c>
      <c r="E1337" s="74" t="s">
        <v>1224</v>
      </c>
      <c r="F1337" s="74" t="s">
        <v>1226</v>
      </c>
      <c r="G1337" s="74" t="s">
        <v>1226</v>
      </c>
    </row>
    <row r="1338" spans="1:7" x14ac:dyDescent="0.2">
      <c r="A1338" s="39">
        <v>5581</v>
      </c>
      <c r="B1338" s="38" t="s">
        <v>2276</v>
      </c>
      <c r="C1338" s="39" t="s">
        <v>654</v>
      </c>
      <c r="D1338" s="74" t="s">
        <v>1227</v>
      </c>
      <c r="E1338" s="74" t="s">
        <v>1224</v>
      </c>
      <c r="F1338" s="74" t="s">
        <v>1226</v>
      </c>
      <c r="G1338" s="74" t="s">
        <v>1225</v>
      </c>
    </row>
    <row r="1339" spans="1:7" x14ac:dyDescent="0.2">
      <c r="A1339" s="39">
        <v>5582</v>
      </c>
      <c r="B1339" s="38" t="s">
        <v>2277</v>
      </c>
      <c r="C1339" s="39" t="s">
        <v>654</v>
      </c>
      <c r="D1339" s="74" t="s">
        <v>1227</v>
      </c>
      <c r="E1339" s="74" t="s">
        <v>1224</v>
      </c>
      <c r="F1339" s="74" t="s">
        <v>1226</v>
      </c>
      <c r="G1339" s="74" t="s">
        <v>1226</v>
      </c>
    </row>
    <row r="1340" spans="1:7" x14ac:dyDescent="0.2">
      <c r="A1340" s="39">
        <v>5583</v>
      </c>
      <c r="B1340" s="38" t="s">
        <v>2278</v>
      </c>
      <c r="C1340" s="39" t="s">
        <v>654</v>
      </c>
      <c r="D1340" s="74" t="s">
        <v>1227</v>
      </c>
      <c r="E1340" s="74" t="s">
        <v>1224</v>
      </c>
      <c r="F1340" s="74" t="s">
        <v>1226</v>
      </c>
      <c r="G1340" s="74" t="s">
        <v>1225</v>
      </c>
    </row>
    <row r="1341" spans="1:7" x14ac:dyDescent="0.2">
      <c r="A1341" s="39">
        <v>5584</v>
      </c>
      <c r="B1341" s="38" t="s">
        <v>2279</v>
      </c>
      <c r="C1341" s="39" t="s">
        <v>654</v>
      </c>
      <c r="D1341" s="74" t="s">
        <v>1227</v>
      </c>
      <c r="E1341" s="74" t="s">
        <v>1224</v>
      </c>
      <c r="F1341" s="74" t="s">
        <v>1226</v>
      </c>
      <c r="G1341" s="74" t="s">
        <v>1225</v>
      </c>
    </row>
    <row r="1342" spans="1:7" x14ac:dyDescent="0.2">
      <c r="A1342" s="39">
        <v>5585</v>
      </c>
      <c r="B1342" s="38" t="s">
        <v>2280</v>
      </c>
      <c r="C1342" s="39" t="s">
        <v>654</v>
      </c>
      <c r="D1342" s="74" t="s">
        <v>1227</v>
      </c>
      <c r="E1342" s="74" t="s">
        <v>1224</v>
      </c>
      <c r="F1342" s="74" t="s">
        <v>1226</v>
      </c>
      <c r="G1342" s="74" t="s">
        <v>1225</v>
      </c>
    </row>
    <row r="1343" spans="1:7" x14ac:dyDescent="0.2">
      <c r="A1343" s="39">
        <v>5591</v>
      </c>
      <c r="B1343" s="38" t="s">
        <v>2281</v>
      </c>
      <c r="C1343" s="39" t="s">
        <v>654</v>
      </c>
      <c r="D1343" s="74" t="s">
        <v>1227</v>
      </c>
      <c r="E1343" s="74" t="s">
        <v>1224</v>
      </c>
      <c r="F1343" s="74" t="s">
        <v>1226</v>
      </c>
      <c r="G1343" s="74" t="s">
        <v>1225</v>
      </c>
    </row>
    <row r="1344" spans="1:7" x14ac:dyDescent="0.2">
      <c r="A1344" s="39">
        <v>5592</v>
      </c>
      <c r="B1344" s="38" t="s">
        <v>2282</v>
      </c>
      <c r="C1344" s="39" t="s">
        <v>654</v>
      </c>
      <c r="D1344" s="74" t="s">
        <v>1227</v>
      </c>
      <c r="E1344" s="74" t="s">
        <v>1224</v>
      </c>
      <c r="F1344" s="74" t="s">
        <v>1226</v>
      </c>
      <c r="G1344" s="74" t="s">
        <v>1225</v>
      </c>
    </row>
    <row r="1345" spans="1:7" x14ac:dyDescent="0.2">
      <c r="A1345" s="39">
        <v>5600</v>
      </c>
      <c r="B1345" s="38" t="s">
        <v>2283</v>
      </c>
      <c r="C1345" s="39" t="s">
        <v>654</v>
      </c>
      <c r="D1345" s="74" t="s">
        <v>1227</v>
      </c>
      <c r="E1345" s="74" t="s">
        <v>1224</v>
      </c>
      <c r="F1345" s="74" t="s">
        <v>1226</v>
      </c>
      <c r="G1345" s="74" t="s">
        <v>1226</v>
      </c>
    </row>
    <row r="1346" spans="1:7" x14ac:dyDescent="0.2">
      <c r="A1346" s="39">
        <v>5602</v>
      </c>
      <c r="B1346" s="38" t="s">
        <v>2284</v>
      </c>
      <c r="C1346" s="39" t="s">
        <v>654</v>
      </c>
      <c r="D1346" s="74" t="s">
        <v>1227</v>
      </c>
      <c r="E1346" s="74" t="s">
        <v>1224</v>
      </c>
      <c r="F1346" s="74" t="s">
        <v>1226</v>
      </c>
      <c r="G1346" s="74" t="s">
        <v>1226</v>
      </c>
    </row>
    <row r="1347" spans="1:7" x14ac:dyDescent="0.2">
      <c r="A1347" s="39">
        <v>5603</v>
      </c>
      <c r="B1347" s="38" t="s">
        <v>2285</v>
      </c>
      <c r="C1347" s="39" t="s">
        <v>654</v>
      </c>
      <c r="D1347" s="74" t="s">
        <v>1227</v>
      </c>
      <c r="E1347" s="74" t="s">
        <v>1224</v>
      </c>
      <c r="F1347" s="74" t="s">
        <v>1226</v>
      </c>
      <c r="G1347" s="74" t="s">
        <v>1225</v>
      </c>
    </row>
    <row r="1348" spans="1:7" x14ac:dyDescent="0.2">
      <c r="A1348" s="39">
        <v>5611</v>
      </c>
      <c r="B1348" s="38" t="s">
        <v>2286</v>
      </c>
      <c r="C1348" s="39" t="s">
        <v>654</v>
      </c>
      <c r="D1348" s="74" t="s">
        <v>1227</v>
      </c>
      <c r="E1348" s="74" t="s">
        <v>1224</v>
      </c>
      <c r="F1348" s="74" t="s">
        <v>1226</v>
      </c>
      <c r="G1348" s="74" t="s">
        <v>1226</v>
      </c>
    </row>
    <row r="1349" spans="1:7" x14ac:dyDescent="0.2">
      <c r="A1349" s="39">
        <v>5612</v>
      </c>
      <c r="B1349" s="38" t="s">
        <v>2287</v>
      </c>
      <c r="C1349" s="39" t="s">
        <v>654</v>
      </c>
      <c r="D1349" s="74" t="s">
        <v>1227</v>
      </c>
      <c r="E1349" s="74" t="s">
        <v>1224</v>
      </c>
      <c r="F1349" s="74" t="s">
        <v>1226</v>
      </c>
      <c r="G1349" s="74" t="s">
        <v>1225</v>
      </c>
    </row>
    <row r="1350" spans="1:7" x14ac:dyDescent="0.2">
      <c r="A1350" s="39">
        <v>5620</v>
      </c>
      <c r="B1350" s="38" t="s">
        <v>2288</v>
      </c>
      <c r="C1350" s="39" t="s">
        <v>654</v>
      </c>
      <c r="D1350" s="74" t="s">
        <v>1227</v>
      </c>
      <c r="E1350" s="74" t="s">
        <v>1224</v>
      </c>
      <c r="F1350" s="74" t="s">
        <v>1226</v>
      </c>
      <c r="G1350" s="74" t="s">
        <v>1226</v>
      </c>
    </row>
    <row r="1351" spans="1:7" x14ac:dyDescent="0.2">
      <c r="A1351" s="39">
        <v>5621</v>
      </c>
      <c r="B1351" s="38" t="s">
        <v>2289</v>
      </c>
      <c r="C1351" s="39" t="s">
        <v>654</v>
      </c>
      <c r="D1351" s="74" t="s">
        <v>1227</v>
      </c>
      <c r="E1351" s="74" t="s">
        <v>1224</v>
      </c>
      <c r="F1351" s="74" t="s">
        <v>1226</v>
      </c>
      <c r="G1351" s="74" t="s">
        <v>1225</v>
      </c>
    </row>
    <row r="1352" spans="1:7" x14ac:dyDescent="0.2">
      <c r="A1352" s="39">
        <v>5622</v>
      </c>
      <c r="B1352" s="38" t="s">
        <v>2290</v>
      </c>
      <c r="C1352" s="39" t="s">
        <v>654</v>
      </c>
      <c r="D1352" s="74" t="s">
        <v>1227</v>
      </c>
      <c r="E1352" s="74" t="s">
        <v>1224</v>
      </c>
      <c r="F1352" s="74" t="s">
        <v>1226</v>
      </c>
      <c r="G1352" s="74" t="s">
        <v>1225</v>
      </c>
    </row>
    <row r="1353" spans="1:7" x14ac:dyDescent="0.2">
      <c r="A1353" s="39">
        <v>5623</v>
      </c>
      <c r="B1353" s="38" t="s">
        <v>2288</v>
      </c>
      <c r="C1353" s="39" t="s">
        <v>654</v>
      </c>
      <c r="D1353" s="74" t="s">
        <v>1223</v>
      </c>
      <c r="E1353" s="74" t="s">
        <v>1224</v>
      </c>
      <c r="F1353" s="74" t="s">
        <v>1225</v>
      </c>
      <c r="G1353" s="74" t="s">
        <v>1226</v>
      </c>
    </row>
    <row r="1354" spans="1:7" x14ac:dyDescent="0.2">
      <c r="A1354" s="39">
        <v>5630</v>
      </c>
      <c r="B1354" s="38" t="s">
        <v>2291</v>
      </c>
      <c r="C1354" s="39" t="s">
        <v>654</v>
      </c>
      <c r="D1354" s="74" t="s">
        <v>1227</v>
      </c>
      <c r="E1354" s="74" t="s">
        <v>1224</v>
      </c>
      <c r="F1354" s="74" t="s">
        <v>1226</v>
      </c>
      <c r="G1354" s="74" t="s">
        <v>1226</v>
      </c>
    </row>
    <row r="1355" spans="1:7" x14ac:dyDescent="0.2">
      <c r="A1355" s="39">
        <v>5632</v>
      </c>
      <c r="B1355" s="38" t="s">
        <v>2292</v>
      </c>
      <c r="C1355" s="39" t="s">
        <v>654</v>
      </c>
      <c r="D1355" s="74" t="s">
        <v>1227</v>
      </c>
      <c r="E1355" s="74" t="s">
        <v>1224</v>
      </c>
      <c r="F1355" s="74" t="s">
        <v>1226</v>
      </c>
      <c r="G1355" s="74" t="s">
        <v>1225</v>
      </c>
    </row>
    <row r="1356" spans="1:7" x14ac:dyDescent="0.2">
      <c r="A1356" s="39">
        <v>5640</v>
      </c>
      <c r="B1356" s="38" t="s">
        <v>2293</v>
      </c>
      <c r="C1356" s="39" t="s">
        <v>654</v>
      </c>
      <c r="D1356" s="74" t="s">
        <v>1227</v>
      </c>
      <c r="E1356" s="74" t="s">
        <v>1224</v>
      </c>
      <c r="F1356" s="74" t="s">
        <v>1226</v>
      </c>
      <c r="G1356" s="74" t="s">
        <v>1226</v>
      </c>
    </row>
    <row r="1357" spans="1:7" x14ac:dyDescent="0.2">
      <c r="A1357" s="39">
        <v>5645</v>
      </c>
      <c r="B1357" s="38" t="s">
        <v>2294</v>
      </c>
      <c r="C1357" s="39" t="s">
        <v>654</v>
      </c>
      <c r="D1357" s="74" t="s">
        <v>1227</v>
      </c>
      <c r="E1357" s="74" t="s">
        <v>1224</v>
      </c>
      <c r="F1357" s="74" t="s">
        <v>1226</v>
      </c>
      <c r="G1357" s="74" t="s">
        <v>1225</v>
      </c>
    </row>
    <row r="1358" spans="1:7" x14ac:dyDescent="0.2">
      <c r="A1358" s="39">
        <v>5651</v>
      </c>
      <c r="B1358" s="38" t="s">
        <v>2295</v>
      </c>
      <c r="C1358" s="39" t="s">
        <v>654</v>
      </c>
      <c r="D1358" s="74" t="s">
        <v>1227</v>
      </c>
      <c r="E1358" s="74" t="s">
        <v>1224</v>
      </c>
      <c r="F1358" s="74" t="s">
        <v>1226</v>
      </c>
      <c r="G1358" s="74" t="s">
        <v>1225</v>
      </c>
    </row>
    <row r="1359" spans="1:7" x14ac:dyDescent="0.2">
      <c r="A1359" s="39">
        <v>5652</v>
      </c>
      <c r="B1359" s="38" t="s">
        <v>2296</v>
      </c>
      <c r="C1359" s="39" t="s">
        <v>654</v>
      </c>
      <c r="D1359" s="74" t="s">
        <v>1227</v>
      </c>
      <c r="E1359" s="74" t="s">
        <v>1224</v>
      </c>
      <c r="F1359" s="74" t="s">
        <v>1226</v>
      </c>
      <c r="G1359" s="74" t="s">
        <v>1225</v>
      </c>
    </row>
    <row r="1360" spans="1:7" x14ac:dyDescent="0.2">
      <c r="A1360" s="39">
        <v>5660</v>
      </c>
      <c r="B1360" s="38" t="s">
        <v>2297</v>
      </c>
      <c r="C1360" s="39" t="s">
        <v>654</v>
      </c>
      <c r="D1360" s="74" t="s">
        <v>1227</v>
      </c>
      <c r="E1360" s="74" t="s">
        <v>1224</v>
      </c>
      <c r="F1360" s="74" t="s">
        <v>1226</v>
      </c>
      <c r="G1360" s="74" t="s">
        <v>1226</v>
      </c>
    </row>
    <row r="1361" spans="1:7" x14ac:dyDescent="0.2">
      <c r="A1361" s="39">
        <v>5661</v>
      </c>
      <c r="B1361" s="38" t="s">
        <v>239</v>
      </c>
      <c r="C1361" s="39" t="s">
        <v>654</v>
      </c>
      <c r="D1361" s="74" t="s">
        <v>1227</v>
      </c>
      <c r="E1361" s="74" t="s">
        <v>1224</v>
      </c>
      <c r="F1361" s="74" t="s">
        <v>1226</v>
      </c>
      <c r="G1361" s="74" t="s">
        <v>1226</v>
      </c>
    </row>
    <row r="1362" spans="1:7" x14ac:dyDescent="0.2">
      <c r="A1362" s="39">
        <v>5662</v>
      </c>
      <c r="B1362" s="38" t="s">
        <v>2298</v>
      </c>
      <c r="C1362" s="39" t="s">
        <v>654</v>
      </c>
      <c r="D1362" s="74" t="s">
        <v>1227</v>
      </c>
      <c r="E1362" s="74" t="s">
        <v>1224</v>
      </c>
      <c r="F1362" s="74" t="s">
        <v>1226</v>
      </c>
      <c r="G1362" s="74" t="s">
        <v>1225</v>
      </c>
    </row>
    <row r="1363" spans="1:7" x14ac:dyDescent="0.2">
      <c r="A1363" s="39">
        <v>5671</v>
      </c>
      <c r="B1363" s="38" t="s">
        <v>2299</v>
      </c>
      <c r="C1363" s="39" t="s">
        <v>654</v>
      </c>
      <c r="D1363" s="74" t="s">
        <v>1227</v>
      </c>
      <c r="E1363" s="74" t="s">
        <v>1224</v>
      </c>
      <c r="F1363" s="74" t="s">
        <v>1226</v>
      </c>
      <c r="G1363" s="74" t="s">
        <v>1226</v>
      </c>
    </row>
    <row r="1364" spans="1:7" x14ac:dyDescent="0.2">
      <c r="A1364" s="39">
        <v>5672</v>
      </c>
      <c r="B1364" s="38" t="s">
        <v>2300</v>
      </c>
      <c r="C1364" s="39" t="s">
        <v>654</v>
      </c>
      <c r="D1364" s="74" t="s">
        <v>1227</v>
      </c>
      <c r="E1364" s="74" t="s">
        <v>1224</v>
      </c>
      <c r="F1364" s="74" t="s">
        <v>1226</v>
      </c>
      <c r="G1364" s="74" t="s">
        <v>1225</v>
      </c>
    </row>
    <row r="1365" spans="1:7" x14ac:dyDescent="0.2">
      <c r="A1365" s="39">
        <v>5700</v>
      </c>
      <c r="B1365" s="38" t="s">
        <v>1210</v>
      </c>
      <c r="C1365" s="39" t="s">
        <v>654</v>
      </c>
      <c r="D1365" s="74" t="s">
        <v>1227</v>
      </c>
      <c r="E1365" s="74" t="s">
        <v>1224</v>
      </c>
      <c r="F1365" s="74" t="s">
        <v>1226</v>
      </c>
      <c r="G1365" s="74" t="s">
        <v>1226</v>
      </c>
    </row>
    <row r="1366" spans="1:7" x14ac:dyDescent="0.2">
      <c r="A1366" s="39">
        <v>5702</v>
      </c>
      <c r="B1366" s="38" t="s">
        <v>2301</v>
      </c>
      <c r="C1366" s="39" t="s">
        <v>654</v>
      </c>
      <c r="D1366" s="74" t="s">
        <v>1229</v>
      </c>
      <c r="E1366" s="74" t="s">
        <v>1224</v>
      </c>
      <c r="F1366" s="74" t="s">
        <v>1225</v>
      </c>
      <c r="G1366" s="74" t="s">
        <v>1226</v>
      </c>
    </row>
    <row r="1367" spans="1:7" x14ac:dyDescent="0.2">
      <c r="A1367" s="39">
        <v>5710</v>
      </c>
      <c r="B1367" s="38" t="s">
        <v>2302</v>
      </c>
      <c r="C1367" s="39" t="s">
        <v>654</v>
      </c>
      <c r="D1367" s="74" t="s">
        <v>1227</v>
      </c>
      <c r="E1367" s="74" t="s">
        <v>1224</v>
      </c>
      <c r="F1367" s="74" t="s">
        <v>1226</v>
      </c>
      <c r="G1367" s="74" t="s">
        <v>1226</v>
      </c>
    </row>
    <row r="1368" spans="1:7" x14ac:dyDescent="0.2">
      <c r="A1368" s="39">
        <v>5721</v>
      </c>
      <c r="B1368" s="38" t="s">
        <v>2303</v>
      </c>
      <c r="C1368" s="39" t="s">
        <v>654</v>
      </c>
      <c r="D1368" s="74" t="s">
        <v>1227</v>
      </c>
      <c r="E1368" s="74" t="s">
        <v>1224</v>
      </c>
      <c r="F1368" s="74" t="s">
        <v>1226</v>
      </c>
      <c r="G1368" s="74" t="s">
        <v>1226</v>
      </c>
    </row>
    <row r="1369" spans="1:7" x14ac:dyDescent="0.2">
      <c r="A1369" s="39">
        <v>5722</v>
      </c>
      <c r="B1369" s="38" t="s">
        <v>2304</v>
      </c>
      <c r="C1369" s="39" t="s">
        <v>654</v>
      </c>
      <c r="D1369" s="74" t="s">
        <v>1227</v>
      </c>
      <c r="E1369" s="74" t="s">
        <v>1224</v>
      </c>
      <c r="F1369" s="74" t="s">
        <v>1226</v>
      </c>
      <c r="G1369" s="74" t="s">
        <v>1225</v>
      </c>
    </row>
    <row r="1370" spans="1:7" x14ac:dyDescent="0.2">
      <c r="A1370" s="39">
        <v>5723</v>
      </c>
      <c r="B1370" s="38" t="s">
        <v>2032</v>
      </c>
      <c r="C1370" s="39" t="s">
        <v>654</v>
      </c>
      <c r="D1370" s="74" t="s">
        <v>1227</v>
      </c>
      <c r="E1370" s="74" t="s">
        <v>1224</v>
      </c>
      <c r="F1370" s="74" t="s">
        <v>1226</v>
      </c>
      <c r="G1370" s="74" t="s">
        <v>1226</v>
      </c>
    </row>
    <row r="1371" spans="1:7" x14ac:dyDescent="0.2">
      <c r="A1371" s="39">
        <v>5724</v>
      </c>
      <c r="B1371" s="38" t="s">
        <v>2305</v>
      </c>
      <c r="C1371" s="39" t="s">
        <v>654</v>
      </c>
      <c r="D1371" s="74" t="s">
        <v>1227</v>
      </c>
      <c r="E1371" s="74" t="s">
        <v>1224</v>
      </c>
      <c r="F1371" s="74" t="s">
        <v>1226</v>
      </c>
      <c r="G1371" s="74" t="s">
        <v>1225</v>
      </c>
    </row>
    <row r="1372" spans="1:7" x14ac:dyDescent="0.2">
      <c r="A1372" s="39">
        <v>5730</v>
      </c>
      <c r="B1372" s="38" t="s">
        <v>2306</v>
      </c>
      <c r="C1372" s="39" t="s">
        <v>654</v>
      </c>
      <c r="D1372" s="74" t="s">
        <v>1227</v>
      </c>
      <c r="E1372" s="74" t="s">
        <v>1224</v>
      </c>
      <c r="F1372" s="74" t="s">
        <v>1226</v>
      </c>
      <c r="G1372" s="74" t="s">
        <v>1226</v>
      </c>
    </row>
    <row r="1373" spans="1:7" x14ac:dyDescent="0.2">
      <c r="A1373" s="39">
        <v>5731</v>
      </c>
      <c r="B1373" s="38" t="s">
        <v>2307</v>
      </c>
      <c r="C1373" s="39" t="s">
        <v>654</v>
      </c>
      <c r="D1373" s="74" t="s">
        <v>1227</v>
      </c>
      <c r="E1373" s="74" t="s">
        <v>1224</v>
      </c>
      <c r="F1373" s="74" t="s">
        <v>1226</v>
      </c>
      <c r="G1373" s="74" t="s">
        <v>1225</v>
      </c>
    </row>
    <row r="1374" spans="1:7" x14ac:dyDescent="0.2">
      <c r="A1374" s="39">
        <v>5732</v>
      </c>
      <c r="B1374" s="38" t="s">
        <v>2308</v>
      </c>
      <c r="C1374" s="39" t="s">
        <v>654</v>
      </c>
      <c r="D1374" s="74" t="s">
        <v>1227</v>
      </c>
      <c r="E1374" s="74" t="s">
        <v>1224</v>
      </c>
      <c r="F1374" s="74" t="s">
        <v>1226</v>
      </c>
      <c r="G1374" s="74" t="s">
        <v>1225</v>
      </c>
    </row>
    <row r="1375" spans="1:7" x14ac:dyDescent="0.2">
      <c r="A1375" s="39">
        <v>5733</v>
      </c>
      <c r="B1375" s="38" t="s">
        <v>2309</v>
      </c>
      <c r="C1375" s="39" t="s">
        <v>654</v>
      </c>
      <c r="D1375" s="74" t="s">
        <v>1227</v>
      </c>
      <c r="E1375" s="74" t="s">
        <v>1224</v>
      </c>
      <c r="F1375" s="74" t="s">
        <v>1226</v>
      </c>
      <c r="G1375" s="74" t="s">
        <v>1226</v>
      </c>
    </row>
    <row r="1376" spans="1:7" x14ac:dyDescent="0.2">
      <c r="A1376" s="39">
        <v>5741</v>
      </c>
      <c r="B1376" s="38" t="s">
        <v>829</v>
      </c>
      <c r="C1376" s="39" t="s">
        <v>654</v>
      </c>
      <c r="D1376" s="74" t="s">
        <v>1227</v>
      </c>
      <c r="E1376" s="74" t="s">
        <v>1224</v>
      </c>
      <c r="F1376" s="74" t="s">
        <v>1226</v>
      </c>
      <c r="G1376" s="74" t="s">
        <v>1226</v>
      </c>
    </row>
    <row r="1377" spans="1:7" x14ac:dyDescent="0.2">
      <c r="A1377" s="39">
        <v>5742</v>
      </c>
      <c r="B1377" s="38" t="s">
        <v>830</v>
      </c>
      <c r="C1377" s="39" t="s">
        <v>654</v>
      </c>
      <c r="D1377" s="74" t="s">
        <v>1227</v>
      </c>
      <c r="E1377" s="74" t="s">
        <v>1224</v>
      </c>
      <c r="F1377" s="74" t="s">
        <v>1226</v>
      </c>
      <c r="G1377" s="74" t="s">
        <v>1226</v>
      </c>
    </row>
    <row r="1378" spans="1:7" x14ac:dyDescent="0.2">
      <c r="A1378" s="39">
        <v>5743</v>
      </c>
      <c r="B1378" s="38" t="s">
        <v>831</v>
      </c>
      <c r="C1378" s="39" t="s">
        <v>654</v>
      </c>
      <c r="D1378" s="74" t="s">
        <v>1227</v>
      </c>
      <c r="E1378" s="74" t="s">
        <v>1224</v>
      </c>
      <c r="F1378" s="74" t="s">
        <v>1226</v>
      </c>
      <c r="G1378" s="74" t="s">
        <v>1226</v>
      </c>
    </row>
    <row r="1379" spans="1:7" x14ac:dyDescent="0.2">
      <c r="A1379" s="39">
        <v>5751</v>
      </c>
      <c r="B1379" s="38" t="s">
        <v>832</v>
      </c>
      <c r="C1379" s="39" t="s">
        <v>654</v>
      </c>
      <c r="D1379" s="74" t="s">
        <v>1227</v>
      </c>
      <c r="E1379" s="74" t="s">
        <v>1224</v>
      </c>
      <c r="F1379" s="74" t="s">
        <v>1226</v>
      </c>
      <c r="G1379" s="74" t="s">
        <v>1226</v>
      </c>
    </row>
    <row r="1380" spans="1:7" x14ac:dyDescent="0.2">
      <c r="A1380" s="39">
        <v>5752</v>
      </c>
      <c r="B1380" s="38" t="s">
        <v>833</v>
      </c>
      <c r="C1380" s="39" t="s">
        <v>654</v>
      </c>
      <c r="D1380" s="74" t="s">
        <v>1227</v>
      </c>
      <c r="E1380" s="74" t="s">
        <v>1224</v>
      </c>
      <c r="F1380" s="74" t="s">
        <v>1226</v>
      </c>
      <c r="G1380" s="74" t="s">
        <v>1225</v>
      </c>
    </row>
    <row r="1381" spans="1:7" x14ac:dyDescent="0.2">
      <c r="A1381" s="39">
        <v>5753</v>
      </c>
      <c r="B1381" s="38" t="s">
        <v>834</v>
      </c>
      <c r="C1381" s="39" t="s">
        <v>654</v>
      </c>
      <c r="D1381" s="74" t="s">
        <v>1227</v>
      </c>
      <c r="E1381" s="74" t="s">
        <v>1224</v>
      </c>
      <c r="F1381" s="74" t="s">
        <v>1226</v>
      </c>
      <c r="G1381" s="74" t="s">
        <v>1226</v>
      </c>
    </row>
    <row r="1382" spans="1:7" x14ac:dyDescent="0.2">
      <c r="A1382" s="39">
        <v>5754</v>
      </c>
      <c r="B1382" s="38" t="s">
        <v>835</v>
      </c>
      <c r="C1382" s="39" t="s">
        <v>654</v>
      </c>
      <c r="D1382" s="74" t="s">
        <v>1227</v>
      </c>
      <c r="E1382" s="74" t="s">
        <v>1224</v>
      </c>
      <c r="F1382" s="74" t="s">
        <v>1226</v>
      </c>
      <c r="G1382" s="74" t="s">
        <v>1226</v>
      </c>
    </row>
    <row r="1383" spans="1:7" x14ac:dyDescent="0.2">
      <c r="A1383" s="39">
        <v>5760</v>
      </c>
      <c r="B1383" s="38" t="s">
        <v>836</v>
      </c>
      <c r="C1383" s="39" t="s">
        <v>654</v>
      </c>
      <c r="D1383" s="74" t="s">
        <v>1227</v>
      </c>
      <c r="E1383" s="74" t="s">
        <v>1224</v>
      </c>
      <c r="F1383" s="74" t="s">
        <v>1226</v>
      </c>
      <c r="G1383" s="74" t="s">
        <v>1226</v>
      </c>
    </row>
    <row r="1384" spans="1:7" x14ac:dyDescent="0.2">
      <c r="A1384" s="39">
        <v>5761</v>
      </c>
      <c r="B1384" s="38" t="s">
        <v>837</v>
      </c>
      <c r="C1384" s="39" t="s">
        <v>654</v>
      </c>
      <c r="D1384" s="74" t="s">
        <v>1227</v>
      </c>
      <c r="E1384" s="74" t="s">
        <v>1224</v>
      </c>
      <c r="F1384" s="74" t="s">
        <v>1226</v>
      </c>
      <c r="G1384" s="74" t="s">
        <v>1226</v>
      </c>
    </row>
    <row r="1385" spans="1:7" x14ac:dyDescent="0.2">
      <c r="A1385" s="39">
        <v>5771</v>
      </c>
      <c r="B1385" s="38" t="s">
        <v>838</v>
      </c>
      <c r="C1385" s="39" t="s">
        <v>654</v>
      </c>
      <c r="D1385" s="74" t="s">
        <v>1227</v>
      </c>
      <c r="E1385" s="74" t="s">
        <v>1224</v>
      </c>
      <c r="F1385" s="74" t="s">
        <v>1226</v>
      </c>
      <c r="G1385" s="74" t="s">
        <v>1226</v>
      </c>
    </row>
    <row r="1386" spans="1:7" x14ac:dyDescent="0.2">
      <c r="A1386" s="39">
        <v>6010</v>
      </c>
      <c r="B1386" s="38" t="s">
        <v>176</v>
      </c>
      <c r="C1386" s="39" t="s">
        <v>839</v>
      </c>
      <c r="D1386" s="74" t="s">
        <v>1229</v>
      </c>
      <c r="E1386" s="74" t="s">
        <v>1224</v>
      </c>
      <c r="F1386" s="74" t="s">
        <v>1225</v>
      </c>
      <c r="G1386" s="74" t="s">
        <v>1226</v>
      </c>
    </row>
    <row r="1387" spans="1:7" x14ac:dyDescent="0.2">
      <c r="A1387" s="39">
        <v>6012</v>
      </c>
      <c r="B1387" s="38" t="s">
        <v>176</v>
      </c>
      <c r="C1387" s="39" t="s">
        <v>839</v>
      </c>
      <c r="D1387" s="74" t="s">
        <v>1229</v>
      </c>
      <c r="E1387" s="74" t="s">
        <v>1224</v>
      </c>
      <c r="F1387" s="74" t="s">
        <v>1225</v>
      </c>
      <c r="G1387" s="74" t="s">
        <v>1226</v>
      </c>
    </row>
    <row r="1388" spans="1:7" x14ac:dyDescent="0.2">
      <c r="A1388" s="39">
        <v>6013</v>
      </c>
      <c r="B1388" s="38" t="s">
        <v>176</v>
      </c>
      <c r="C1388" s="39" t="s">
        <v>839</v>
      </c>
      <c r="D1388" s="74" t="s">
        <v>1229</v>
      </c>
      <c r="E1388" s="74" t="s">
        <v>1224</v>
      </c>
      <c r="F1388" s="74" t="s">
        <v>1225</v>
      </c>
      <c r="G1388" s="74" t="s">
        <v>1226</v>
      </c>
    </row>
    <row r="1389" spans="1:7" x14ac:dyDescent="0.2">
      <c r="A1389" s="39">
        <v>6014</v>
      </c>
      <c r="B1389" s="38" t="s">
        <v>176</v>
      </c>
      <c r="C1389" s="39" t="s">
        <v>839</v>
      </c>
      <c r="D1389" s="74" t="s">
        <v>1229</v>
      </c>
      <c r="E1389" s="74" t="s">
        <v>1224</v>
      </c>
      <c r="F1389" s="74" t="s">
        <v>1225</v>
      </c>
      <c r="G1389" s="74" t="s">
        <v>1226</v>
      </c>
    </row>
    <row r="1390" spans="1:7" x14ac:dyDescent="0.2">
      <c r="A1390" s="39">
        <v>6020</v>
      </c>
      <c r="B1390" s="38" t="s">
        <v>176</v>
      </c>
      <c r="C1390" s="39" t="s">
        <v>839</v>
      </c>
      <c r="D1390" s="74" t="s">
        <v>1227</v>
      </c>
      <c r="E1390" s="74" t="s">
        <v>1224</v>
      </c>
      <c r="F1390" s="74" t="s">
        <v>1226</v>
      </c>
      <c r="G1390" s="74" t="s">
        <v>1225</v>
      </c>
    </row>
    <row r="1391" spans="1:7" x14ac:dyDescent="0.2">
      <c r="A1391" s="39">
        <v>6021</v>
      </c>
      <c r="B1391" s="38" t="s">
        <v>840</v>
      </c>
      <c r="C1391" s="39" t="s">
        <v>839</v>
      </c>
      <c r="D1391" s="74" t="s">
        <v>1229</v>
      </c>
      <c r="E1391" s="74" t="s">
        <v>1224</v>
      </c>
      <c r="F1391" s="74" t="s">
        <v>1225</v>
      </c>
      <c r="G1391" s="74" t="s">
        <v>1226</v>
      </c>
    </row>
    <row r="1392" spans="1:7" x14ac:dyDescent="0.2">
      <c r="A1392" s="39">
        <v>6022</v>
      </c>
      <c r="B1392" s="38" t="s">
        <v>176</v>
      </c>
      <c r="C1392" s="39" t="s">
        <v>839</v>
      </c>
      <c r="D1392" s="74" t="s">
        <v>1229</v>
      </c>
      <c r="E1392" s="74" t="s">
        <v>1224</v>
      </c>
      <c r="F1392" s="74" t="s">
        <v>1225</v>
      </c>
      <c r="G1392" s="74" t="s">
        <v>1226</v>
      </c>
    </row>
    <row r="1393" spans="1:7" x14ac:dyDescent="0.2">
      <c r="A1393" s="39">
        <v>6023</v>
      </c>
      <c r="B1393" s="38" t="s">
        <v>176</v>
      </c>
      <c r="C1393" s="39" t="s">
        <v>839</v>
      </c>
      <c r="D1393" s="74" t="s">
        <v>1229</v>
      </c>
      <c r="E1393" s="74" t="s">
        <v>1224</v>
      </c>
      <c r="F1393" s="74" t="s">
        <v>1225</v>
      </c>
      <c r="G1393" s="74" t="s">
        <v>1226</v>
      </c>
    </row>
    <row r="1394" spans="1:7" x14ac:dyDescent="0.2">
      <c r="A1394" s="39">
        <v>6026</v>
      </c>
      <c r="B1394" s="38" t="s">
        <v>176</v>
      </c>
      <c r="C1394" s="39" t="s">
        <v>839</v>
      </c>
      <c r="D1394" s="74" t="s">
        <v>1229</v>
      </c>
      <c r="E1394" s="74" t="s">
        <v>1224</v>
      </c>
      <c r="F1394" s="74" t="s">
        <v>1225</v>
      </c>
      <c r="G1394" s="74" t="s">
        <v>1226</v>
      </c>
    </row>
    <row r="1395" spans="1:7" x14ac:dyDescent="0.2">
      <c r="A1395" s="39">
        <v>6027</v>
      </c>
      <c r="B1395" s="38" t="s">
        <v>176</v>
      </c>
      <c r="C1395" s="39" t="s">
        <v>839</v>
      </c>
      <c r="D1395" s="74" t="s">
        <v>1229</v>
      </c>
      <c r="E1395" s="74" t="s">
        <v>1224</v>
      </c>
      <c r="F1395" s="74" t="s">
        <v>1225</v>
      </c>
      <c r="G1395" s="74" t="s">
        <v>1226</v>
      </c>
    </row>
    <row r="1396" spans="1:7" x14ac:dyDescent="0.2">
      <c r="A1396" s="39">
        <v>6029</v>
      </c>
      <c r="B1396" s="38" t="s">
        <v>176</v>
      </c>
      <c r="C1396" s="39" t="s">
        <v>839</v>
      </c>
      <c r="D1396" s="74" t="s">
        <v>1229</v>
      </c>
      <c r="E1396" s="74" t="s">
        <v>1224</v>
      </c>
      <c r="F1396" s="74" t="s">
        <v>1225</v>
      </c>
      <c r="G1396" s="74" t="s">
        <v>1226</v>
      </c>
    </row>
    <row r="1397" spans="1:7" x14ac:dyDescent="0.2">
      <c r="A1397" s="39">
        <v>6033</v>
      </c>
      <c r="B1397" s="38" t="s">
        <v>841</v>
      </c>
      <c r="C1397" s="39" t="s">
        <v>839</v>
      </c>
      <c r="D1397" s="74" t="s">
        <v>1229</v>
      </c>
      <c r="E1397" s="74" t="s">
        <v>1224</v>
      </c>
      <c r="F1397" s="74" t="s">
        <v>1225</v>
      </c>
      <c r="G1397" s="74" t="s">
        <v>1226</v>
      </c>
    </row>
    <row r="1398" spans="1:7" x14ac:dyDescent="0.2">
      <c r="A1398" s="39">
        <v>6040</v>
      </c>
      <c r="B1398" s="38" t="s">
        <v>842</v>
      </c>
      <c r="C1398" s="39" t="s">
        <v>839</v>
      </c>
      <c r="D1398" s="74" t="s">
        <v>1229</v>
      </c>
      <c r="E1398" s="74" t="s">
        <v>1224</v>
      </c>
      <c r="F1398" s="74" t="s">
        <v>1225</v>
      </c>
      <c r="G1398" s="74" t="s">
        <v>1226</v>
      </c>
    </row>
    <row r="1399" spans="1:7" x14ac:dyDescent="0.2">
      <c r="A1399" s="39">
        <v>6050</v>
      </c>
      <c r="B1399" s="38" t="s">
        <v>843</v>
      </c>
      <c r="C1399" s="39" t="s">
        <v>839</v>
      </c>
      <c r="D1399" s="74" t="s">
        <v>1229</v>
      </c>
      <c r="E1399" s="74" t="s">
        <v>1224</v>
      </c>
      <c r="F1399" s="74" t="s">
        <v>1225</v>
      </c>
      <c r="G1399" s="74" t="s">
        <v>1226</v>
      </c>
    </row>
    <row r="1400" spans="1:7" x14ac:dyDescent="0.2">
      <c r="A1400" s="39">
        <v>6060</v>
      </c>
      <c r="B1400" s="38" t="s">
        <v>843</v>
      </c>
      <c r="C1400" s="39" t="s">
        <v>839</v>
      </c>
      <c r="D1400" s="74" t="s">
        <v>1227</v>
      </c>
      <c r="E1400" s="74" t="s">
        <v>1224</v>
      </c>
      <c r="F1400" s="74" t="s">
        <v>1226</v>
      </c>
      <c r="G1400" s="74" t="s">
        <v>1226</v>
      </c>
    </row>
    <row r="1401" spans="1:7" x14ac:dyDescent="0.2">
      <c r="A1401" s="39">
        <v>6063</v>
      </c>
      <c r="B1401" s="38" t="s">
        <v>844</v>
      </c>
      <c r="C1401" s="39" t="s">
        <v>839</v>
      </c>
      <c r="D1401" s="74" t="s">
        <v>1227</v>
      </c>
      <c r="E1401" s="74" t="s">
        <v>1224</v>
      </c>
      <c r="F1401" s="74" t="s">
        <v>1226</v>
      </c>
      <c r="G1401" s="74" t="s">
        <v>1226</v>
      </c>
    </row>
    <row r="1402" spans="1:7" x14ac:dyDescent="0.2">
      <c r="A1402" s="39">
        <v>6064</v>
      </c>
      <c r="B1402" s="38" t="s">
        <v>844</v>
      </c>
      <c r="C1402" s="39" t="s">
        <v>839</v>
      </c>
      <c r="D1402" s="74" t="s">
        <v>1229</v>
      </c>
      <c r="E1402" s="74" t="s">
        <v>1224</v>
      </c>
      <c r="F1402" s="74" t="s">
        <v>1225</v>
      </c>
      <c r="G1402" s="74" t="s">
        <v>1226</v>
      </c>
    </row>
    <row r="1403" spans="1:7" x14ac:dyDescent="0.2">
      <c r="A1403" s="39">
        <v>6065</v>
      </c>
      <c r="B1403" s="38" t="s">
        <v>845</v>
      </c>
      <c r="C1403" s="39" t="s">
        <v>839</v>
      </c>
      <c r="D1403" s="74" t="s">
        <v>1227</v>
      </c>
      <c r="E1403" s="74" t="s">
        <v>1224</v>
      </c>
      <c r="F1403" s="74" t="s">
        <v>1226</v>
      </c>
      <c r="G1403" s="74" t="s">
        <v>1225</v>
      </c>
    </row>
    <row r="1404" spans="1:7" x14ac:dyDescent="0.2">
      <c r="A1404" s="39">
        <v>6067</v>
      </c>
      <c r="B1404" s="38" t="s">
        <v>846</v>
      </c>
      <c r="C1404" s="39" t="s">
        <v>839</v>
      </c>
      <c r="D1404" s="74" t="s">
        <v>1227</v>
      </c>
      <c r="E1404" s="74" t="s">
        <v>1224</v>
      </c>
      <c r="F1404" s="74" t="s">
        <v>1226</v>
      </c>
      <c r="G1404" s="74" t="s">
        <v>1226</v>
      </c>
    </row>
    <row r="1405" spans="1:7" x14ac:dyDescent="0.2">
      <c r="A1405" s="39">
        <v>6068</v>
      </c>
      <c r="B1405" s="38" t="s">
        <v>847</v>
      </c>
      <c r="C1405" s="39" t="s">
        <v>839</v>
      </c>
      <c r="D1405" s="74" t="s">
        <v>1227</v>
      </c>
      <c r="E1405" s="74" t="s">
        <v>1224</v>
      </c>
      <c r="F1405" s="74" t="s">
        <v>1226</v>
      </c>
      <c r="G1405" s="74" t="s">
        <v>1226</v>
      </c>
    </row>
    <row r="1406" spans="1:7" x14ac:dyDescent="0.2">
      <c r="A1406" s="39">
        <v>6069</v>
      </c>
      <c r="B1406" s="38" t="s">
        <v>848</v>
      </c>
      <c r="C1406" s="39" t="s">
        <v>839</v>
      </c>
      <c r="D1406" s="74" t="s">
        <v>1227</v>
      </c>
      <c r="E1406" s="74" t="s">
        <v>1224</v>
      </c>
      <c r="F1406" s="74" t="s">
        <v>1226</v>
      </c>
      <c r="G1406" s="74" t="s">
        <v>1225</v>
      </c>
    </row>
    <row r="1407" spans="1:7" x14ac:dyDescent="0.2">
      <c r="A1407" s="39">
        <v>6070</v>
      </c>
      <c r="B1407" s="38" t="s">
        <v>849</v>
      </c>
      <c r="C1407" s="39" t="s">
        <v>839</v>
      </c>
      <c r="D1407" s="74" t="s">
        <v>1227</v>
      </c>
      <c r="E1407" s="74" t="s">
        <v>1224</v>
      </c>
      <c r="F1407" s="74" t="s">
        <v>1226</v>
      </c>
      <c r="G1407" s="74" t="s">
        <v>1225</v>
      </c>
    </row>
    <row r="1408" spans="1:7" x14ac:dyDescent="0.2">
      <c r="A1408" s="39">
        <v>6071</v>
      </c>
      <c r="B1408" s="38" t="s">
        <v>850</v>
      </c>
      <c r="C1408" s="39" t="s">
        <v>839</v>
      </c>
      <c r="D1408" s="74" t="s">
        <v>1227</v>
      </c>
      <c r="E1408" s="74" t="s">
        <v>1224</v>
      </c>
      <c r="F1408" s="74" t="s">
        <v>1226</v>
      </c>
      <c r="G1408" s="74" t="s">
        <v>1226</v>
      </c>
    </row>
    <row r="1409" spans="1:7" x14ac:dyDescent="0.2">
      <c r="A1409" s="39">
        <v>6072</v>
      </c>
      <c r="B1409" s="38" t="s">
        <v>851</v>
      </c>
      <c r="C1409" s="39" t="s">
        <v>839</v>
      </c>
      <c r="D1409" s="74" t="s">
        <v>1227</v>
      </c>
      <c r="E1409" s="74" t="s">
        <v>1224</v>
      </c>
      <c r="F1409" s="74" t="s">
        <v>1226</v>
      </c>
      <c r="G1409" s="74" t="s">
        <v>1225</v>
      </c>
    </row>
    <row r="1410" spans="1:7" x14ac:dyDescent="0.2">
      <c r="A1410" s="39">
        <v>6073</v>
      </c>
      <c r="B1410" s="38" t="s">
        <v>852</v>
      </c>
      <c r="C1410" s="39" t="s">
        <v>839</v>
      </c>
      <c r="D1410" s="74" t="s">
        <v>1227</v>
      </c>
      <c r="E1410" s="74" t="s">
        <v>1224</v>
      </c>
      <c r="F1410" s="74" t="s">
        <v>1226</v>
      </c>
      <c r="G1410" s="74" t="s">
        <v>1225</v>
      </c>
    </row>
    <row r="1411" spans="1:7" x14ac:dyDescent="0.2">
      <c r="A1411" s="39">
        <v>6074</v>
      </c>
      <c r="B1411" s="38" t="s">
        <v>853</v>
      </c>
      <c r="C1411" s="39" t="s">
        <v>839</v>
      </c>
      <c r="D1411" s="74" t="s">
        <v>1227</v>
      </c>
      <c r="E1411" s="74" t="s">
        <v>1224</v>
      </c>
      <c r="F1411" s="74" t="s">
        <v>1226</v>
      </c>
      <c r="G1411" s="74" t="s">
        <v>1225</v>
      </c>
    </row>
    <row r="1412" spans="1:7" x14ac:dyDescent="0.2">
      <c r="A1412" s="39">
        <v>6075</v>
      </c>
      <c r="B1412" s="38" t="s">
        <v>854</v>
      </c>
      <c r="C1412" s="39" t="s">
        <v>839</v>
      </c>
      <c r="D1412" s="74" t="s">
        <v>1227</v>
      </c>
      <c r="E1412" s="74" t="s">
        <v>1224</v>
      </c>
      <c r="F1412" s="74" t="s">
        <v>1226</v>
      </c>
      <c r="G1412" s="74" t="s">
        <v>1225</v>
      </c>
    </row>
    <row r="1413" spans="1:7" x14ac:dyDescent="0.2">
      <c r="A1413" s="39">
        <v>6080</v>
      </c>
      <c r="B1413" s="38" t="s">
        <v>2090</v>
      </c>
      <c r="C1413" s="39" t="s">
        <v>839</v>
      </c>
      <c r="D1413" s="74" t="s">
        <v>1227</v>
      </c>
      <c r="E1413" s="74" t="s">
        <v>1224</v>
      </c>
      <c r="F1413" s="74" t="s">
        <v>1226</v>
      </c>
      <c r="G1413" s="74" t="s">
        <v>1226</v>
      </c>
    </row>
    <row r="1414" spans="1:7" x14ac:dyDescent="0.2">
      <c r="A1414" s="39">
        <v>6082</v>
      </c>
      <c r="B1414" s="38" t="s">
        <v>2091</v>
      </c>
      <c r="C1414" s="39" t="s">
        <v>839</v>
      </c>
      <c r="D1414" s="74" t="s">
        <v>1227</v>
      </c>
      <c r="E1414" s="74" t="s">
        <v>1224</v>
      </c>
      <c r="F1414" s="74" t="s">
        <v>1226</v>
      </c>
      <c r="G1414" s="74" t="s">
        <v>1225</v>
      </c>
    </row>
    <row r="1415" spans="1:7" x14ac:dyDescent="0.2">
      <c r="A1415" s="39">
        <v>6083</v>
      </c>
      <c r="B1415" s="38" t="s">
        <v>2092</v>
      </c>
      <c r="C1415" s="39" t="s">
        <v>839</v>
      </c>
      <c r="D1415" s="74" t="s">
        <v>1227</v>
      </c>
      <c r="E1415" s="74" t="s">
        <v>1224</v>
      </c>
      <c r="F1415" s="74" t="s">
        <v>1226</v>
      </c>
      <c r="G1415" s="74" t="s">
        <v>1225</v>
      </c>
    </row>
    <row r="1416" spans="1:7" x14ac:dyDescent="0.2">
      <c r="A1416" s="39">
        <v>6091</v>
      </c>
      <c r="B1416" s="38" t="s">
        <v>2093</v>
      </c>
      <c r="C1416" s="39" t="s">
        <v>839</v>
      </c>
      <c r="D1416" s="74" t="s">
        <v>1227</v>
      </c>
      <c r="E1416" s="74" t="s">
        <v>1224</v>
      </c>
      <c r="F1416" s="74" t="s">
        <v>1226</v>
      </c>
      <c r="G1416" s="74" t="s">
        <v>1226</v>
      </c>
    </row>
    <row r="1417" spans="1:7" x14ac:dyDescent="0.2">
      <c r="A1417" s="39">
        <v>6092</v>
      </c>
      <c r="B1417" s="38" t="s">
        <v>2094</v>
      </c>
      <c r="C1417" s="39" t="s">
        <v>839</v>
      </c>
      <c r="D1417" s="74" t="s">
        <v>1227</v>
      </c>
      <c r="E1417" s="74" t="s">
        <v>1224</v>
      </c>
      <c r="F1417" s="74" t="s">
        <v>1226</v>
      </c>
      <c r="G1417" s="74" t="s">
        <v>1225</v>
      </c>
    </row>
    <row r="1418" spans="1:7" x14ac:dyDescent="0.2">
      <c r="A1418" s="39">
        <v>6094</v>
      </c>
      <c r="B1418" s="38" t="s">
        <v>2095</v>
      </c>
      <c r="C1418" s="39" t="s">
        <v>839</v>
      </c>
      <c r="D1418" s="74" t="s">
        <v>1227</v>
      </c>
      <c r="E1418" s="74" t="s">
        <v>1224</v>
      </c>
      <c r="F1418" s="74" t="s">
        <v>1226</v>
      </c>
      <c r="G1418" s="74" t="s">
        <v>1226</v>
      </c>
    </row>
    <row r="1419" spans="1:7" x14ac:dyDescent="0.2">
      <c r="A1419" s="39">
        <v>6095</v>
      </c>
      <c r="B1419" s="38" t="s">
        <v>2096</v>
      </c>
      <c r="C1419" s="39" t="s">
        <v>839</v>
      </c>
      <c r="D1419" s="74" t="s">
        <v>1227</v>
      </c>
      <c r="E1419" s="74" t="s">
        <v>1224</v>
      </c>
      <c r="F1419" s="74" t="s">
        <v>1226</v>
      </c>
      <c r="G1419" s="74" t="s">
        <v>1225</v>
      </c>
    </row>
    <row r="1420" spans="1:7" x14ac:dyDescent="0.2">
      <c r="A1420" s="39">
        <v>6100</v>
      </c>
      <c r="B1420" s="38" t="s">
        <v>2097</v>
      </c>
      <c r="C1420" s="39" t="s">
        <v>839</v>
      </c>
      <c r="D1420" s="74" t="s">
        <v>1227</v>
      </c>
      <c r="E1420" s="74" t="s">
        <v>1224</v>
      </c>
      <c r="F1420" s="74" t="s">
        <v>1226</v>
      </c>
      <c r="G1420" s="74" t="s">
        <v>1226</v>
      </c>
    </row>
    <row r="1421" spans="1:7" x14ac:dyDescent="0.2">
      <c r="A1421" s="39">
        <v>6103</v>
      </c>
      <c r="B1421" s="38" t="s">
        <v>2098</v>
      </c>
      <c r="C1421" s="39" t="s">
        <v>839</v>
      </c>
      <c r="D1421" s="74" t="s">
        <v>1227</v>
      </c>
      <c r="E1421" s="74" t="s">
        <v>1224</v>
      </c>
      <c r="F1421" s="74" t="s">
        <v>1226</v>
      </c>
      <c r="G1421" s="74" t="s">
        <v>1225</v>
      </c>
    </row>
    <row r="1422" spans="1:7" x14ac:dyDescent="0.2">
      <c r="A1422" s="39">
        <v>6105</v>
      </c>
      <c r="B1422" s="38" t="s">
        <v>2099</v>
      </c>
      <c r="C1422" s="39" t="s">
        <v>839</v>
      </c>
      <c r="D1422" s="74" t="s">
        <v>1227</v>
      </c>
      <c r="E1422" s="74" t="s">
        <v>1224</v>
      </c>
      <c r="F1422" s="74" t="s">
        <v>1226</v>
      </c>
      <c r="G1422" s="74" t="s">
        <v>1225</v>
      </c>
    </row>
    <row r="1423" spans="1:7" x14ac:dyDescent="0.2">
      <c r="A1423" s="39">
        <v>6108</v>
      </c>
      <c r="B1423" s="38" t="s">
        <v>2100</v>
      </c>
      <c r="C1423" s="39" t="s">
        <v>839</v>
      </c>
      <c r="D1423" s="74" t="s">
        <v>1227</v>
      </c>
      <c r="E1423" s="74" t="s">
        <v>1224</v>
      </c>
      <c r="F1423" s="74" t="s">
        <v>1226</v>
      </c>
      <c r="G1423" s="74" t="s">
        <v>1225</v>
      </c>
    </row>
    <row r="1424" spans="1:7" x14ac:dyDescent="0.2">
      <c r="A1424" s="39">
        <v>6111</v>
      </c>
      <c r="B1424" s="38" t="s">
        <v>2101</v>
      </c>
      <c r="C1424" s="39" t="s">
        <v>839</v>
      </c>
      <c r="D1424" s="74" t="s">
        <v>1227</v>
      </c>
      <c r="E1424" s="74" t="s">
        <v>1224</v>
      </c>
      <c r="F1424" s="74" t="s">
        <v>1226</v>
      </c>
      <c r="G1424" s="74" t="s">
        <v>1226</v>
      </c>
    </row>
    <row r="1425" spans="1:7" x14ac:dyDescent="0.2">
      <c r="A1425" s="39">
        <v>6112</v>
      </c>
      <c r="B1425" s="38" t="s">
        <v>2102</v>
      </c>
      <c r="C1425" s="39" t="s">
        <v>839</v>
      </c>
      <c r="D1425" s="74" t="s">
        <v>1227</v>
      </c>
      <c r="E1425" s="74" t="s">
        <v>1224</v>
      </c>
      <c r="F1425" s="74" t="s">
        <v>1226</v>
      </c>
      <c r="G1425" s="74" t="s">
        <v>1226</v>
      </c>
    </row>
    <row r="1426" spans="1:7" x14ac:dyDescent="0.2">
      <c r="A1426" s="39">
        <v>6113</v>
      </c>
      <c r="B1426" s="38" t="s">
        <v>2103</v>
      </c>
      <c r="C1426" s="39" t="s">
        <v>839</v>
      </c>
      <c r="D1426" s="74" t="s">
        <v>1227</v>
      </c>
      <c r="E1426" s="74" t="s">
        <v>1224</v>
      </c>
      <c r="F1426" s="74" t="s">
        <v>1226</v>
      </c>
      <c r="G1426" s="74" t="s">
        <v>1225</v>
      </c>
    </row>
    <row r="1427" spans="1:7" x14ac:dyDescent="0.2">
      <c r="A1427" s="39">
        <v>6114</v>
      </c>
      <c r="B1427" s="38" t="s">
        <v>2104</v>
      </c>
      <c r="C1427" s="39" t="s">
        <v>839</v>
      </c>
      <c r="D1427" s="74" t="s">
        <v>1227</v>
      </c>
      <c r="E1427" s="74" t="s">
        <v>1224</v>
      </c>
      <c r="F1427" s="74" t="s">
        <v>1226</v>
      </c>
      <c r="G1427" s="74" t="s">
        <v>1226</v>
      </c>
    </row>
    <row r="1428" spans="1:7" x14ac:dyDescent="0.2">
      <c r="A1428" s="39">
        <v>6115</v>
      </c>
      <c r="B1428" s="38" t="s">
        <v>2105</v>
      </c>
      <c r="C1428" s="39" t="s">
        <v>839</v>
      </c>
      <c r="D1428" s="74" t="s">
        <v>1227</v>
      </c>
      <c r="E1428" s="74" t="s">
        <v>1224</v>
      </c>
      <c r="F1428" s="74" t="s">
        <v>1226</v>
      </c>
      <c r="G1428" s="74" t="s">
        <v>1225</v>
      </c>
    </row>
    <row r="1429" spans="1:7" x14ac:dyDescent="0.2">
      <c r="A1429" s="39">
        <v>6121</v>
      </c>
      <c r="B1429" s="38" t="s">
        <v>2106</v>
      </c>
      <c r="C1429" s="39" t="s">
        <v>839</v>
      </c>
      <c r="D1429" s="74" t="s">
        <v>1227</v>
      </c>
      <c r="E1429" s="74" t="s">
        <v>1224</v>
      </c>
      <c r="F1429" s="74" t="s">
        <v>1226</v>
      </c>
      <c r="G1429" s="74" t="s">
        <v>1225</v>
      </c>
    </row>
    <row r="1430" spans="1:7" x14ac:dyDescent="0.2">
      <c r="A1430" s="39">
        <v>6122</v>
      </c>
      <c r="B1430" s="38" t="s">
        <v>2107</v>
      </c>
      <c r="C1430" s="39" t="s">
        <v>839</v>
      </c>
      <c r="D1430" s="74" t="s">
        <v>1227</v>
      </c>
      <c r="E1430" s="74" t="s">
        <v>1224</v>
      </c>
      <c r="F1430" s="74" t="s">
        <v>1226</v>
      </c>
      <c r="G1430" s="74" t="s">
        <v>1225</v>
      </c>
    </row>
    <row r="1431" spans="1:7" x14ac:dyDescent="0.2">
      <c r="A1431" s="39">
        <v>6123</v>
      </c>
      <c r="B1431" s="38" t="s">
        <v>2108</v>
      </c>
      <c r="C1431" s="39" t="s">
        <v>839</v>
      </c>
      <c r="D1431" s="74" t="s">
        <v>1227</v>
      </c>
      <c r="E1431" s="74" t="s">
        <v>1224</v>
      </c>
      <c r="F1431" s="74" t="s">
        <v>1226</v>
      </c>
      <c r="G1431" s="74" t="s">
        <v>1225</v>
      </c>
    </row>
    <row r="1432" spans="1:7" x14ac:dyDescent="0.2">
      <c r="A1432" s="39">
        <v>6130</v>
      </c>
      <c r="B1432" s="38" t="s">
        <v>2109</v>
      </c>
      <c r="C1432" s="39" t="s">
        <v>839</v>
      </c>
      <c r="D1432" s="74" t="s">
        <v>1227</v>
      </c>
      <c r="E1432" s="74" t="s">
        <v>1224</v>
      </c>
      <c r="F1432" s="74" t="s">
        <v>1226</v>
      </c>
      <c r="G1432" s="74" t="s">
        <v>1226</v>
      </c>
    </row>
    <row r="1433" spans="1:7" x14ac:dyDescent="0.2">
      <c r="A1433" s="39">
        <v>6131</v>
      </c>
      <c r="B1433" s="38" t="s">
        <v>2109</v>
      </c>
      <c r="C1433" s="39" t="s">
        <v>839</v>
      </c>
      <c r="D1433" s="74" t="s">
        <v>1229</v>
      </c>
      <c r="E1433" s="74" t="s">
        <v>1224</v>
      </c>
      <c r="F1433" s="74" t="s">
        <v>1225</v>
      </c>
      <c r="G1433" s="74" t="s">
        <v>1226</v>
      </c>
    </row>
    <row r="1434" spans="1:7" x14ac:dyDescent="0.2">
      <c r="A1434" s="39">
        <v>6133</v>
      </c>
      <c r="B1434" s="38" t="s">
        <v>2110</v>
      </c>
      <c r="C1434" s="39" t="s">
        <v>839</v>
      </c>
      <c r="D1434" s="74" t="s">
        <v>1227</v>
      </c>
      <c r="E1434" s="74" t="s">
        <v>1224</v>
      </c>
      <c r="F1434" s="74" t="s">
        <v>1226</v>
      </c>
      <c r="G1434" s="74" t="s">
        <v>1225</v>
      </c>
    </row>
    <row r="1435" spans="1:7" x14ac:dyDescent="0.2">
      <c r="A1435" s="39">
        <v>6134</v>
      </c>
      <c r="B1435" s="38" t="s">
        <v>2111</v>
      </c>
      <c r="C1435" s="39" t="s">
        <v>839</v>
      </c>
      <c r="D1435" s="74" t="s">
        <v>1227</v>
      </c>
      <c r="E1435" s="74" t="s">
        <v>1224</v>
      </c>
      <c r="F1435" s="74" t="s">
        <v>1226</v>
      </c>
      <c r="G1435" s="74" t="s">
        <v>1226</v>
      </c>
    </row>
    <row r="1436" spans="1:7" x14ac:dyDescent="0.2">
      <c r="A1436" s="39">
        <v>6135</v>
      </c>
      <c r="B1436" s="38" t="s">
        <v>2112</v>
      </c>
      <c r="C1436" s="39" t="s">
        <v>839</v>
      </c>
      <c r="D1436" s="74" t="s">
        <v>1227</v>
      </c>
      <c r="E1436" s="74" t="s">
        <v>1224</v>
      </c>
      <c r="F1436" s="74" t="s">
        <v>1226</v>
      </c>
      <c r="G1436" s="74" t="s">
        <v>1226</v>
      </c>
    </row>
    <row r="1437" spans="1:7" x14ac:dyDescent="0.2">
      <c r="A1437" s="39">
        <v>6141</v>
      </c>
      <c r="B1437" s="38" t="s">
        <v>2113</v>
      </c>
      <c r="C1437" s="39" t="s">
        <v>839</v>
      </c>
      <c r="D1437" s="74" t="s">
        <v>1227</v>
      </c>
      <c r="E1437" s="74" t="s">
        <v>1224</v>
      </c>
      <c r="F1437" s="74" t="s">
        <v>1226</v>
      </c>
      <c r="G1437" s="74" t="s">
        <v>1225</v>
      </c>
    </row>
    <row r="1438" spans="1:7" x14ac:dyDescent="0.2">
      <c r="A1438" s="39">
        <v>6142</v>
      </c>
      <c r="B1438" s="38" t="s">
        <v>2114</v>
      </c>
      <c r="C1438" s="39" t="s">
        <v>839</v>
      </c>
      <c r="D1438" s="74" t="s">
        <v>1227</v>
      </c>
      <c r="E1438" s="74" t="s">
        <v>1224</v>
      </c>
      <c r="F1438" s="74" t="s">
        <v>1226</v>
      </c>
      <c r="G1438" s="74" t="s">
        <v>1225</v>
      </c>
    </row>
    <row r="1439" spans="1:7" x14ac:dyDescent="0.2">
      <c r="A1439" s="39">
        <v>6143</v>
      </c>
      <c r="B1439" s="38" t="s">
        <v>2115</v>
      </c>
      <c r="C1439" s="39" t="s">
        <v>839</v>
      </c>
      <c r="D1439" s="74" t="s">
        <v>1227</v>
      </c>
      <c r="E1439" s="74" t="s">
        <v>1224</v>
      </c>
      <c r="F1439" s="74" t="s">
        <v>1226</v>
      </c>
      <c r="G1439" s="74" t="s">
        <v>1226</v>
      </c>
    </row>
    <row r="1440" spans="1:7" x14ac:dyDescent="0.2">
      <c r="A1440" s="39">
        <v>6145</v>
      </c>
      <c r="B1440" s="38" t="s">
        <v>2116</v>
      </c>
      <c r="C1440" s="39" t="s">
        <v>839</v>
      </c>
      <c r="D1440" s="74" t="s">
        <v>1227</v>
      </c>
      <c r="E1440" s="74" t="s">
        <v>1224</v>
      </c>
      <c r="F1440" s="74" t="s">
        <v>1226</v>
      </c>
      <c r="G1440" s="74" t="s">
        <v>1225</v>
      </c>
    </row>
    <row r="1441" spans="1:7" x14ac:dyDescent="0.2">
      <c r="A1441" s="39">
        <v>6150</v>
      </c>
      <c r="B1441" s="38" t="s">
        <v>855</v>
      </c>
      <c r="C1441" s="39" t="s">
        <v>839</v>
      </c>
      <c r="D1441" s="74" t="s">
        <v>1227</v>
      </c>
      <c r="E1441" s="74" t="s">
        <v>1224</v>
      </c>
      <c r="F1441" s="74" t="s">
        <v>1226</v>
      </c>
      <c r="G1441" s="74" t="s">
        <v>1226</v>
      </c>
    </row>
    <row r="1442" spans="1:7" x14ac:dyDescent="0.2">
      <c r="A1442" s="39">
        <v>6152</v>
      </c>
      <c r="B1442" s="38" t="s">
        <v>856</v>
      </c>
      <c r="C1442" s="39" t="s">
        <v>839</v>
      </c>
      <c r="D1442" s="74" t="s">
        <v>1227</v>
      </c>
      <c r="E1442" s="74" t="s">
        <v>1224</v>
      </c>
      <c r="F1442" s="74" t="s">
        <v>1226</v>
      </c>
      <c r="G1442" s="74" t="s">
        <v>1225</v>
      </c>
    </row>
    <row r="1443" spans="1:7" x14ac:dyDescent="0.2">
      <c r="A1443" s="39">
        <v>6154</v>
      </c>
      <c r="B1443" s="38" t="s">
        <v>857</v>
      </c>
      <c r="C1443" s="39" t="s">
        <v>839</v>
      </c>
      <c r="D1443" s="74" t="s">
        <v>1227</v>
      </c>
      <c r="E1443" s="74" t="s">
        <v>1224</v>
      </c>
      <c r="F1443" s="74" t="s">
        <v>1226</v>
      </c>
      <c r="G1443" s="74" t="s">
        <v>1225</v>
      </c>
    </row>
    <row r="1444" spans="1:7" x14ac:dyDescent="0.2">
      <c r="A1444" s="39">
        <v>6156</v>
      </c>
      <c r="B1444" s="38" t="s">
        <v>858</v>
      </c>
      <c r="C1444" s="39" t="s">
        <v>839</v>
      </c>
      <c r="D1444" s="74" t="s">
        <v>1227</v>
      </c>
      <c r="E1444" s="74" t="s">
        <v>1224</v>
      </c>
      <c r="F1444" s="74" t="s">
        <v>1226</v>
      </c>
      <c r="G1444" s="74" t="s">
        <v>1225</v>
      </c>
    </row>
    <row r="1445" spans="1:7" x14ac:dyDescent="0.2">
      <c r="A1445" s="39">
        <v>6157</v>
      </c>
      <c r="B1445" s="38" t="s">
        <v>859</v>
      </c>
      <c r="C1445" s="39" t="s">
        <v>839</v>
      </c>
      <c r="D1445" s="74" t="s">
        <v>1227</v>
      </c>
      <c r="E1445" s="74" t="s">
        <v>1224</v>
      </c>
      <c r="F1445" s="74" t="s">
        <v>1226</v>
      </c>
      <c r="G1445" s="74" t="s">
        <v>1225</v>
      </c>
    </row>
    <row r="1446" spans="1:7" x14ac:dyDescent="0.2">
      <c r="A1446" s="39">
        <v>6161</v>
      </c>
      <c r="B1446" s="38" t="s">
        <v>860</v>
      </c>
      <c r="C1446" s="39" t="s">
        <v>839</v>
      </c>
      <c r="D1446" s="74" t="s">
        <v>1227</v>
      </c>
      <c r="E1446" s="74" t="s">
        <v>1224</v>
      </c>
      <c r="F1446" s="74" t="s">
        <v>1226</v>
      </c>
      <c r="G1446" s="74" t="s">
        <v>1225</v>
      </c>
    </row>
    <row r="1447" spans="1:7" x14ac:dyDescent="0.2">
      <c r="A1447" s="39">
        <v>6162</v>
      </c>
      <c r="B1447" s="38" t="s">
        <v>861</v>
      </c>
      <c r="C1447" s="39" t="s">
        <v>839</v>
      </c>
      <c r="D1447" s="74" t="s">
        <v>1227</v>
      </c>
      <c r="E1447" s="74" t="s">
        <v>1224</v>
      </c>
      <c r="F1447" s="74" t="s">
        <v>1226</v>
      </c>
      <c r="G1447" s="74" t="s">
        <v>1226</v>
      </c>
    </row>
    <row r="1448" spans="1:7" x14ac:dyDescent="0.2">
      <c r="A1448" s="39">
        <v>6165</v>
      </c>
      <c r="B1448" s="38" t="s">
        <v>862</v>
      </c>
      <c r="C1448" s="39" t="s">
        <v>839</v>
      </c>
      <c r="D1448" s="74" t="s">
        <v>1227</v>
      </c>
      <c r="E1448" s="74" t="s">
        <v>1224</v>
      </c>
      <c r="F1448" s="74" t="s">
        <v>1226</v>
      </c>
      <c r="G1448" s="74" t="s">
        <v>1225</v>
      </c>
    </row>
    <row r="1449" spans="1:7" x14ac:dyDescent="0.2">
      <c r="A1449" s="39">
        <v>6166</v>
      </c>
      <c r="B1449" s="38" t="s">
        <v>863</v>
      </c>
      <c r="C1449" s="39" t="s">
        <v>839</v>
      </c>
      <c r="D1449" s="74" t="s">
        <v>1227</v>
      </c>
      <c r="E1449" s="74" t="s">
        <v>1224</v>
      </c>
      <c r="F1449" s="74" t="s">
        <v>1226</v>
      </c>
      <c r="G1449" s="74" t="s">
        <v>1226</v>
      </c>
    </row>
    <row r="1450" spans="1:7" x14ac:dyDescent="0.2">
      <c r="A1450" s="39">
        <v>6167</v>
      </c>
      <c r="B1450" s="38" t="s">
        <v>864</v>
      </c>
      <c r="C1450" s="39" t="s">
        <v>839</v>
      </c>
      <c r="D1450" s="74" t="s">
        <v>1227</v>
      </c>
      <c r="E1450" s="74" t="s">
        <v>1224</v>
      </c>
      <c r="F1450" s="74" t="s">
        <v>1226</v>
      </c>
      <c r="G1450" s="74" t="s">
        <v>1226</v>
      </c>
    </row>
    <row r="1451" spans="1:7" x14ac:dyDescent="0.2">
      <c r="A1451" s="39">
        <v>6170</v>
      </c>
      <c r="B1451" s="38" t="s">
        <v>865</v>
      </c>
      <c r="C1451" s="39" t="s">
        <v>839</v>
      </c>
      <c r="D1451" s="74" t="s">
        <v>1227</v>
      </c>
      <c r="E1451" s="74" t="s">
        <v>1224</v>
      </c>
      <c r="F1451" s="74" t="s">
        <v>1226</v>
      </c>
      <c r="G1451" s="74" t="s">
        <v>1226</v>
      </c>
    </row>
    <row r="1452" spans="1:7" x14ac:dyDescent="0.2">
      <c r="A1452" s="39">
        <v>6173</v>
      </c>
      <c r="B1452" s="38" t="s">
        <v>866</v>
      </c>
      <c r="C1452" s="39" t="s">
        <v>839</v>
      </c>
      <c r="D1452" s="74" t="s">
        <v>1227</v>
      </c>
      <c r="E1452" s="74" t="s">
        <v>1224</v>
      </c>
      <c r="F1452" s="74" t="s">
        <v>1226</v>
      </c>
      <c r="G1452" s="74" t="s">
        <v>1226</v>
      </c>
    </row>
    <row r="1453" spans="1:7" x14ac:dyDescent="0.2">
      <c r="A1453" s="39">
        <v>6175</v>
      </c>
      <c r="B1453" s="38" t="s">
        <v>867</v>
      </c>
      <c r="C1453" s="39" t="s">
        <v>839</v>
      </c>
      <c r="D1453" s="74" t="s">
        <v>1227</v>
      </c>
      <c r="E1453" s="74" t="s">
        <v>1224</v>
      </c>
      <c r="F1453" s="74" t="s">
        <v>1226</v>
      </c>
      <c r="G1453" s="74" t="s">
        <v>1226</v>
      </c>
    </row>
    <row r="1454" spans="1:7" x14ac:dyDescent="0.2">
      <c r="A1454" s="39">
        <v>6176</v>
      </c>
      <c r="B1454" s="38" t="s">
        <v>868</v>
      </c>
      <c r="C1454" s="39" t="s">
        <v>839</v>
      </c>
      <c r="D1454" s="74" t="s">
        <v>1227</v>
      </c>
      <c r="E1454" s="74" t="s">
        <v>1224</v>
      </c>
      <c r="F1454" s="74" t="s">
        <v>1226</v>
      </c>
      <c r="G1454" s="74" t="s">
        <v>1226</v>
      </c>
    </row>
    <row r="1455" spans="1:7" x14ac:dyDescent="0.2">
      <c r="A1455" s="39">
        <v>6177</v>
      </c>
      <c r="B1455" s="38" t="s">
        <v>868</v>
      </c>
      <c r="C1455" s="39" t="s">
        <v>839</v>
      </c>
      <c r="D1455" s="74" t="s">
        <v>1229</v>
      </c>
      <c r="E1455" s="74" t="s">
        <v>1224</v>
      </c>
      <c r="F1455" s="74" t="s">
        <v>1225</v>
      </c>
      <c r="G1455" s="74" t="s">
        <v>1226</v>
      </c>
    </row>
    <row r="1456" spans="1:7" x14ac:dyDescent="0.2">
      <c r="A1456" s="39">
        <v>6178</v>
      </c>
      <c r="B1456" s="38" t="s">
        <v>869</v>
      </c>
      <c r="C1456" s="39" t="s">
        <v>839</v>
      </c>
      <c r="D1456" s="74" t="s">
        <v>1227</v>
      </c>
      <c r="E1456" s="74" t="s">
        <v>1224</v>
      </c>
      <c r="F1456" s="74" t="s">
        <v>1226</v>
      </c>
      <c r="G1456" s="74" t="s">
        <v>1225</v>
      </c>
    </row>
    <row r="1457" spans="1:7" x14ac:dyDescent="0.2">
      <c r="A1457" s="39">
        <v>6179</v>
      </c>
      <c r="B1457" s="38" t="s">
        <v>870</v>
      </c>
      <c r="C1457" s="39" t="s">
        <v>839</v>
      </c>
      <c r="D1457" s="74" t="s">
        <v>1227</v>
      </c>
      <c r="E1457" s="74" t="s">
        <v>1224</v>
      </c>
      <c r="F1457" s="74" t="s">
        <v>1226</v>
      </c>
      <c r="G1457" s="74" t="s">
        <v>1225</v>
      </c>
    </row>
    <row r="1458" spans="1:7" x14ac:dyDescent="0.2">
      <c r="A1458" s="39">
        <v>6181</v>
      </c>
      <c r="B1458" s="38" t="s">
        <v>871</v>
      </c>
      <c r="C1458" s="39" t="s">
        <v>839</v>
      </c>
      <c r="D1458" s="74" t="s">
        <v>1227</v>
      </c>
      <c r="E1458" s="74" t="s">
        <v>1224</v>
      </c>
      <c r="F1458" s="74" t="s">
        <v>1226</v>
      </c>
      <c r="G1458" s="74" t="s">
        <v>1226</v>
      </c>
    </row>
    <row r="1459" spans="1:7" x14ac:dyDescent="0.2">
      <c r="A1459" s="39">
        <v>6182</v>
      </c>
      <c r="B1459" s="38" t="s">
        <v>872</v>
      </c>
      <c r="C1459" s="39" t="s">
        <v>839</v>
      </c>
      <c r="D1459" s="74" t="s">
        <v>1227</v>
      </c>
      <c r="E1459" s="74" t="s">
        <v>1224</v>
      </c>
      <c r="F1459" s="74" t="s">
        <v>1226</v>
      </c>
      <c r="G1459" s="74" t="s">
        <v>1226</v>
      </c>
    </row>
    <row r="1460" spans="1:7" x14ac:dyDescent="0.2">
      <c r="A1460" s="39">
        <v>6183</v>
      </c>
      <c r="B1460" s="38" t="s">
        <v>873</v>
      </c>
      <c r="C1460" s="39" t="s">
        <v>839</v>
      </c>
      <c r="D1460" s="74" t="s">
        <v>1227</v>
      </c>
      <c r="E1460" s="74" t="s">
        <v>1224</v>
      </c>
      <c r="F1460" s="74" t="s">
        <v>1226</v>
      </c>
      <c r="G1460" s="74" t="s">
        <v>1225</v>
      </c>
    </row>
    <row r="1461" spans="1:7" x14ac:dyDescent="0.2">
      <c r="A1461" s="39">
        <v>6184</v>
      </c>
      <c r="B1461" s="38" t="s">
        <v>874</v>
      </c>
      <c r="C1461" s="39" t="s">
        <v>839</v>
      </c>
      <c r="D1461" s="74" t="s">
        <v>1227</v>
      </c>
      <c r="E1461" s="74" t="s">
        <v>1224</v>
      </c>
      <c r="F1461" s="74" t="s">
        <v>1226</v>
      </c>
      <c r="G1461" s="74" t="s">
        <v>1225</v>
      </c>
    </row>
    <row r="1462" spans="1:7" x14ac:dyDescent="0.2">
      <c r="A1462" s="39">
        <v>6200</v>
      </c>
      <c r="B1462" s="38" t="s">
        <v>875</v>
      </c>
      <c r="C1462" s="39" t="s">
        <v>839</v>
      </c>
      <c r="D1462" s="74" t="s">
        <v>1227</v>
      </c>
      <c r="E1462" s="74" t="s">
        <v>1224</v>
      </c>
      <c r="F1462" s="74" t="s">
        <v>1226</v>
      </c>
      <c r="G1462" s="74" t="s">
        <v>1226</v>
      </c>
    </row>
    <row r="1463" spans="1:7" x14ac:dyDescent="0.2">
      <c r="A1463" s="39">
        <v>6210</v>
      </c>
      <c r="B1463" s="38" t="s">
        <v>876</v>
      </c>
      <c r="C1463" s="39" t="s">
        <v>839</v>
      </c>
      <c r="D1463" s="74" t="s">
        <v>1227</v>
      </c>
      <c r="E1463" s="74" t="s">
        <v>1224</v>
      </c>
      <c r="F1463" s="74" t="s">
        <v>1226</v>
      </c>
      <c r="G1463" s="74" t="s">
        <v>1225</v>
      </c>
    </row>
    <row r="1464" spans="1:7" x14ac:dyDescent="0.2">
      <c r="A1464" s="39">
        <v>6212</v>
      </c>
      <c r="B1464" s="38" t="s">
        <v>877</v>
      </c>
      <c r="C1464" s="39" t="s">
        <v>839</v>
      </c>
      <c r="D1464" s="74" t="s">
        <v>1227</v>
      </c>
      <c r="E1464" s="74" t="s">
        <v>1224</v>
      </c>
      <c r="F1464" s="74" t="s">
        <v>1226</v>
      </c>
      <c r="G1464" s="74" t="s">
        <v>1226</v>
      </c>
    </row>
    <row r="1465" spans="1:7" x14ac:dyDescent="0.2">
      <c r="A1465" s="39">
        <v>6213</v>
      </c>
      <c r="B1465" s="38" t="s">
        <v>878</v>
      </c>
      <c r="C1465" s="39" t="s">
        <v>839</v>
      </c>
      <c r="D1465" s="74" t="s">
        <v>1227</v>
      </c>
      <c r="E1465" s="74" t="s">
        <v>1224</v>
      </c>
      <c r="F1465" s="74" t="s">
        <v>1226</v>
      </c>
      <c r="G1465" s="74" t="s">
        <v>1225</v>
      </c>
    </row>
    <row r="1466" spans="1:7" x14ac:dyDescent="0.2">
      <c r="A1466" s="39">
        <v>6215</v>
      </c>
      <c r="B1466" s="38" t="s">
        <v>879</v>
      </c>
      <c r="C1466" s="39" t="s">
        <v>839</v>
      </c>
      <c r="D1466" s="74" t="s">
        <v>1227</v>
      </c>
      <c r="E1466" s="74" t="s">
        <v>1224</v>
      </c>
      <c r="F1466" s="74" t="s">
        <v>1226</v>
      </c>
      <c r="G1466" s="74" t="s">
        <v>1226</v>
      </c>
    </row>
    <row r="1467" spans="1:7" x14ac:dyDescent="0.2">
      <c r="A1467" s="39">
        <v>6222</v>
      </c>
      <c r="B1467" s="38" t="s">
        <v>880</v>
      </c>
      <c r="C1467" s="39" t="s">
        <v>839</v>
      </c>
      <c r="D1467" s="74" t="s">
        <v>1227</v>
      </c>
      <c r="E1467" s="74" t="s">
        <v>1224</v>
      </c>
      <c r="F1467" s="74" t="s">
        <v>1226</v>
      </c>
      <c r="G1467" s="74" t="s">
        <v>1225</v>
      </c>
    </row>
    <row r="1468" spans="1:7" x14ac:dyDescent="0.2">
      <c r="A1468" s="39">
        <v>6230</v>
      </c>
      <c r="B1468" s="38" t="s">
        <v>881</v>
      </c>
      <c r="C1468" s="39" t="s">
        <v>839</v>
      </c>
      <c r="D1468" s="74" t="s">
        <v>1227</v>
      </c>
      <c r="E1468" s="74" t="s">
        <v>1224</v>
      </c>
      <c r="F1468" s="74" t="s">
        <v>1226</v>
      </c>
      <c r="G1468" s="74" t="s">
        <v>1226</v>
      </c>
    </row>
    <row r="1469" spans="1:7" x14ac:dyDescent="0.2">
      <c r="A1469" s="39">
        <v>6232</v>
      </c>
      <c r="B1469" s="38" t="s">
        <v>882</v>
      </c>
      <c r="C1469" s="39" t="s">
        <v>839</v>
      </c>
      <c r="D1469" s="74" t="s">
        <v>1227</v>
      </c>
      <c r="E1469" s="74" t="s">
        <v>1224</v>
      </c>
      <c r="F1469" s="74" t="s">
        <v>1226</v>
      </c>
      <c r="G1469" s="74" t="s">
        <v>1226</v>
      </c>
    </row>
    <row r="1470" spans="1:7" x14ac:dyDescent="0.2">
      <c r="A1470" s="39">
        <v>6233</v>
      </c>
      <c r="B1470" s="38" t="s">
        <v>883</v>
      </c>
      <c r="C1470" s="39" t="s">
        <v>839</v>
      </c>
      <c r="D1470" s="74" t="s">
        <v>1227</v>
      </c>
      <c r="E1470" s="74" t="s">
        <v>1224</v>
      </c>
      <c r="F1470" s="74" t="s">
        <v>1226</v>
      </c>
      <c r="G1470" s="74" t="s">
        <v>1226</v>
      </c>
    </row>
    <row r="1471" spans="1:7" x14ac:dyDescent="0.2">
      <c r="A1471" s="39">
        <v>6234</v>
      </c>
      <c r="B1471" s="38" t="s">
        <v>884</v>
      </c>
      <c r="C1471" s="39" t="s">
        <v>839</v>
      </c>
      <c r="D1471" s="74" t="s">
        <v>1227</v>
      </c>
      <c r="E1471" s="74" t="s">
        <v>1224</v>
      </c>
      <c r="F1471" s="74" t="s">
        <v>1226</v>
      </c>
      <c r="G1471" s="74" t="s">
        <v>1225</v>
      </c>
    </row>
    <row r="1472" spans="1:7" x14ac:dyDescent="0.2">
      <c r="A1472" s="39">
        <v>6235</v>
      </c>
      <c r="B1472" s="38" t="s">
        <v>885</v>
      </c>
      <c r="C1472" s="39" t="s">
        <v>839</v>
      </c>
      <c r="D1472" s="74" t="s">
        <v>1227</v>
      </c>
      <c r="E1472" s="74" t="s">
        <v>1224</v>
      </c>
      <c r="F1472" s="74" t="s">
        <v>1226</v>
      </c>
      <c r="G1472" s="74" t="s">
        <v>1225</v>
      </c>
    </row>
    <row r="1473" spans="1:7" x14ac:dyDescent="0.2">
      <c r="A1473" s="39">
        <v>6236</v>
      </c>
      <c r="B1473" s="38" t="s">
        <v>886</v>
      </c>
      <c r="C1473" s="39" t="s">
        <v>839</v>
      </c>
      <c r="D1473" s="74" t="s">
        <v>1227</v>
      </c>
      <c r="E1473" s="74" t="s">
        <v>1224</v>
      </c>
      <c r="F1473" s="74" t="s">
        <v>1226</v>
      </c>
      <c r="G1473" s="74" t="s">
        <v>1226</v>
      </c>
    </row>
    <row r="1474" spans="1:7" x14ac:dyDescent="0.2">
      <c r="A1474" s="39">
        <v>6240</v>
      </c>
      <c r="B1474" s="38" t="s">
        <v>887</v>
      </c>
      <c r="C1474" s="39" t="s">
        <v>839</v>
      </c>
      <c r="D1474" s="74" t="s">
        <v>1227</v>
      </c>
      <c r="E1474" s="74" t="s">
        <v>1224</v>
      </c>
      <c r="F1474" s="74" t="s">
        <v>1226</v>
      </c>
      <c r="G1474" s="74" t="s">
        <v>1226</v>
      </c>
    </row>
    <row r="1475" spans="1:7" x14ac:dyDescent="0.2">
      <c r="A1475" s="39">
        <v>6250</v>
      </c>
      <c r="B1475" s="38" t="s">
        <v>888</v>
      </c>
      <c r="C1475" s="39" t="s">
        <v>839</v>
      </c>
      <c r="D1475" s="74" t="s">
        <v>1227</v>
      </c>
      <c r="E1475" s="74" t="s">
        <v>1224</v>
      </c>
      <c r="F1475" s="74" t="s">
        <v>1226</v>
      </c>
      <c r="G1475" s="74" t="s">
        <v>1226</v>
      </c>
    </row>
    <row r="1476" spans="1:7" x14ac:dyDescent="0.2">
      <c r="A1476" s="39">
        <v>6252</v>
      </c>
      <c r="B1476" s="38" t="s">
        <v>889</v>
      </c>
      <c r="C1476" s="39" t="s">
        <v>839</v>
      </c>
      <c r="D1476" s="74" t="s">
        <v>1227</v>
      </c>
      <c r="E1476" s="74" t="s">
        <v>1224</v>
      </c>
      <c r="F1476" s="74" t="s">
        <v>1226</v>
      </c>
      <c r="G1476" s="74" t="s">
        <v>1225</v>
      </c>
    </row>
    <row r="1477" spans="1:7" x14ac:dyDescent="0.2">
      <c r="A1477" s="39">
        <v>6260</v>
      </c>
      <c r="B1477" s="38" t="s">
        <v>890</v>
      </c>
      <c r="C1477" s="39" t="s">
        <v>839</v>
      </c>
      <c r="D1477" s="74" t="s">
        <v>1227</v>
      </c>
      <c r="E1477" s="74" t="s">
        <v>1224</v>
      </c>
      <c r="F1477" s="74" t="s">
        <v>1226</v>
      </c>
      <c r="G1477" s="74" t="s">
        <v>1225</v>
      </c>
    </row>
    <row r="1478" spans="1:7" x14ac:dyDescent="0.2">
      <c r="A1478" s="39">
        <v>6261</v>
      </c>
      <c r="B1478" s="38" t="s">
        <v>891</v>
      </c>
      <c r="C1478" s="39" t="s">
        <v>839</v>
      </c>
      <c r="D1478" s="74" t="s">
        <v>1227</v>
      </c>
      <c r="E1478" s="74" t="s">
        <v>1224</v>
      </c>
      <c r="F1478" s="74" t="s">
        <v>1226</v>
      </c>
      <c r="G1478" s="74" t="s">
        <v>1225</v>
      </c>
    </row>
    <row r="1479" spans="1:7" x14ac:dyDescent="0.2">
      <c r="A1479" s="39">
        <v>6262</v>
      </c>
      <c r="B1479" s="38" t="s">
        <v>892</v>
      </c>
      <c r="C1479" s="39" t="s">
        <v>839</v>
      </c>
      <c r="D1479" s="74" t="s">
        <v>1227</v>
      </c>
      <c r="E1479" s="74" t="s">
        <v>1224</v>
      </c>
      <c r="F1479" s="74" t="s">
        <v>1226</v>
      </c>
      <c r="G1479" s="74" t="s">
        <v>1226</v>
      </c>
    </row>
    <row r="1480" spans="1:7" x14ac:dyDescent="0.2">
      <c r="A1480" s="39">
        <v>6263</v>
      </c>
      <c r="B1480" s="38" t="s">
        <v>893</v>
      </c>
      <c r="C1480" s="39" t="s">
        <v>839</v>
      </c>
      <c r="D1480" s="74" t="s">
        <v>1227</v>
      </c>
      <c r="E1480" s="74" t="s">
        <v>1224</v>
      </c>
      <c r="F1480" s="74" t="s">
        <v>1226</v>
      </c>
      <c r="G1480" s="74" t="s">
        <v>1226</v>
      </c>
    </row>
    <row r="1481" spans="1:7" x14ac:dyDescent="0.2">
      <c r="A1481" s="39">
        <v>6265</v>
      </c>
      <c r="B1481" s="38" t="s">
        <v>894</v>
      </c>
      <c r="C1481" s="39" t="s">
        <v>839</v>
      </c>
      <c r="D1481" s="74" t="s">
        <v>1227</v>
      </c>
      <c r="E1481" s="74" t="s">
        <v>1224</v>
      </c>
      <c r="F1481" s="74" t="s">
        <v>1226</v>
      </c>
      <c r="G1481" s="74" t="s">
        <v>1225</v>
      </c>
    </row>
    <row r="1482" spans="1:7" x14ac:dyDescent="0.2">
      <c r="A1482" s="39">
        <v>6271</v>
      </c>
      <c r="B1482" s="38" t="s">
        <v>895</v>
      </c>
      <c r="C1482" s="39" t="s">
        <v>839</v>
      </c>
      <c r="D1482" s="74" t="s">
        <v>1227</v>
      </c>
      <c r="E1482" s="74" t="s">
        <v>1224</v>
      </c>
      <c r="F1482" s="74" t="s">
        <v>1226</v>
      </c>
      <c r="G1482" s="74" t="s">
        <v>1226</v>
      </c>
    </row>
    <row r="1483" spans="1:7" x14ac:dyDescent="0.2">
      <c r="A1483" s="39">
        <v>6272</v>
      </c>
      <c r="B1483" s="38" t="s">
        <v>896</v>
      </c>
      <c r="C1483" s="39" t="s">
        <v>839</v>
      </c>
      <c r="D1483" s="74" t="s">
        <v>1227</v>
      </c>
      <c r="E1483" s="74" t="s">
        <v>1224</v>
      </c>
      <c r="F1483" s="74" t="s">
        <v>1226</v>
      </c>
      <c r="G1483" s="74" t="s">
        <v>1226</v>
      </c>
    </row>
    <row r="1484" spans="1:7" x14ac:dyDescent="0.2">
      <c r="A1484" s="39">
        <v>6274</v>
      </c>
      <c r="B1484" s="38" t="s">
        <v>897</v>
      </c>
      <c r="C1484" s="39" t="s">
        <v>839</v>
      </c>
      <c r="D1484" s="74" t="s">
        <v>1227</v>
      </c>
      <c r="E1484" s="74" t="s">
        <v>1224</v>
      </c>
      <c r="F1484" s="74" t="s">
        <v>1226</v>
      </c>
      <c r="G1484" s="74" t="s">
        <v>1226</v>
      </c>
    </row>
    <row r="1485" spans="1:7" x14ac:dyDescent="0.2">
      <c r="A1485" s="39">
        <v>6275</v>
      </c>
      <c r="B1485" s="38" t="s">
        <v>898</v>
      </c>
      <c r="C1485" s="39" t="s">
        <v>839</v>
      </c>
      <c r="D1485" s="74" t="s">
        <v>1227</v>
      </c>
      <c r="E1485" s="74" t="s">
        <v>1224</v>
      </c>
      <c r="F1485" s="74" t="s">
        <v>1226</v>
      </c>
      <c r="G1485" s="74" t="s">
        <v>1225</v>
      </c>
    </row>
    <row r="1486" spans="1:7" x14ac:dyDescent="0.2">
      <c r="A1486" s="39">
        <v>6276</v>
      </c>
      <c r="B1486" s="38" t="s">
        <v>899</v>
      </c>
      <c r="C1486" s="39" t="s">
        <v>839</v>
      </c>
      <c r="D1486" s="74" t="s">
        <v>1227</v>
      </c>
      <c r="E1486" s="74" t="s">
        <v>1224</v>
      </c>
      <c r="F1486" s="74" t="s">
        <v>1226</v>
      </c>
      <c r="G1486" s="74" t="s">
        <v>1225</v>
      </c>
    </row>
    <row r="1487" spans="1:7" x14ac:dyDescent="0.2">
      <c r="A1487" s="39">
        <v>6280</v>
      </c>
      <c r="B1487" s="38" t="s">
        <v>900</v>
      </c>
      <c r="C1487" s="39" t="s">
        <v>839</v>
      </c>
      <c r="D1487" s="74" t="s">
        <v>1227</v>
      </c>
      <c r="E1487" s="74" t="s">
        <v>1224</v>
      </c>
      <c r="F1487" s="74" t="s">
        <v>1226</v>
      </c>
      <c r="G1487" s="74" t="s">
        <v>1226</v>
      </c>
    </row>
    <row r="1488" spans="1:7" x14ac:dyDescent="0.2">
      <c r="A1488" s="39">
        <v>6281</v>
      </c>
      <c r="B1488" s="38" t="s">
        <v>901</v>
      </c>
      <c r="C1488" s="39" t="s">
        <v>839</v>
      </c>
      <c r="D1488" s="74" t="s">
        <v>1227</v>
      </c>
      <c r="E1488" s="74" t="s">
        <v>1224</v>
      </c>
      <c r="F1488" s="74" t="s">
        <v>1226</v>
      </c>
      <c r="G1488" s="74" t="s">
        <v>1226</v>
      </c>
    </row>
    <row r="1489" spans="1:7" x14ac:dyDescent="0.2">
      <c r="A1489" s="39">
        <v>6283</v>
      </c>
      <c r="B1489" s="38" t="s">
        <v>902</v>
      </c>
      <c r="C1489" s="39" t="s">
        <v>839</v>
      </c>
      <c r="D1489" s="74" t="s">
        <v>1227</v>
      </c>
      <c r="E1489" s="74" t="s">
        <v>1224</v>
      </c>
      <c r="F1489" s="74" t="s">
        <v>1226</v>
      </c>
      <c r="G1489" s="74" t="s">
        <v>1226</v>
      </c>
    </row>
    <row r="1490" spans="1:7" x14ac:dyDescent="0.2">
      <c r="A1490" s="39">
        <v>6284</v>
      </c>
      <c r="B1490" s="38" t="s">
        <v>903</v>
      </c>
      <c r="C1490" s="39" t="s">
        <v>839</v>
      </c>
      <c r="D1490" s="74" t="s">
        <v>1227</v>
      </c>
      <c r="E1490" s="74" t="s">
        <v>1224</v>
      </c>
      <c r="F1490" s="74" t="s">
        <v>1226</v>
      </c>
      <c r="G1490" s="74" t="s">
        <v>1225</v>
      </c>
    </row>
    <row r="1491" spans="1:7" x14ac:dyDescent="0.2">
      <c r="A1491" s="39">
        <v>6290</v>
      </c>
      <c r="B1491" s="38" t="s">
        <v>904</v>
      </c>
      <c r="C1491" s="39" t="s">
        <v>839</v>
      </c>
      <c r="D1491" s="74" t="s">
        <v>1227</v>
      </c>
      <c r="E1491" s="74" t="s">
        <v>1224</v>
      </c>
      <c r="F1491" s="74" t="s">
        <v>1226</v>
      </c>
      <c r="G1491" s="74" t="s">
        <v>1226</v>
      </c>
    </row>
    <row r="1492" spans="1:7" x14ac:dyDescent="0.2">
      <c r="A1492" s="39">
        <v>6292</v>
      </c>
      <c r="B1492" s="38" t="s">
        <v>905</v>
      </c>
      <c r="C1492" s="39" t="s">
        <v>839</v>
      </c>
      <c r="D1492" s="74" t="s">
        <v>1227</v>
      </c>
      <c r="E1492" s="74" t="s">
        <v>1224</v>
      </c>
      <c r="F1492" s="74" t="s">
        <v>1226</v>
      </c>
      <c r="G1492" s="74" t="s">
        <v>1225</v>
      </c>
    </row>
    <row r="1493" spans="1:7" x14ac:dyDescent="0.2">
      <c r="A1493" s="39">
        <v>6293</v>
      </c>
      <c r="B1493" s="38" t="s">
        <v>906</v>
      </c>
      <c r="C1493" s="39" t="s">
        <v>839</v>
      </c>
      <c r="D1493" s="74" t="s">
        <v>1227</v>
      </c>
      <c r="E1493" s="74" t="s">
        <v>1224</v>
      </c>
      <c r="F1493" s="74" t="s">
        <v>1226</v>
      </c>
      <c r="G1493" s="74" t="s">
        <v>1226</v>
      </c>
    </row>
    <row r="1494" spans="1:7" x14ac:dyDescent="0.2">
      <c r="A1494" s="39">
        <v>6294</v>
      </c>
      <c r="B1494" s="38" t="s">
        <v>907</v>
      </c>
      <c r="C1494" s="39" t="s">
        <v>839</v>
      </c>
      <c r="D1494" s="74" t="s">
        <v>1227</v>
      </c>
      <c r="E1494" s="74" t="s">
        <v>1224</v>
      </c>
      <c r="F1494" s="74" t="s">
        <v>1226</v>
      </c>
      <c r="G1494" s="74" t="s">
        <v>1225</v>
      </c>
    </row>
    <row r="1495" spans="1:7" x14ac:dyDescent="0.2">
      <c r="A1495" s="39">
        <v>6295</v>
      </c>
      <c r="B1495" s="38" t="s">
        <v>908</v>
      </c>
      <c r="C1495" s="39" t="s">
        <v>839</v>
      </c>
      <c r="D1495" s="74" t="s">
        <v>1227</v>
      </c>
      <c r="E1495" s="74" t="s">
        <v>1224</v>
      </c>
      <c r="F1495" s="74" t="s">
        <v>1226</v>
      </c>
      <c r="G1495" s="74" t="s">
        <v>1225</v>
      </c>
    </row>
    <row r="1496" spans="1:7" x14ac:dyDescent="0.2">
      <c r="A1496" s="39">
        <v>6300</v>
      </c>
      <c r="B1496" s="38" t="s">
        <v>909</v>
      </c>
      <c r="C1496" s="39" t="s">
        <v>839</v>
      </c>
      <c r="D1496" s="74" t="s">
        <v>1227</v>
      </c>
      <c r="E1496" s="74" t="s">
        <v>1224</v>
      </c>
      <c r="F1496" s="74" t="s">
        <v>1226</v>
      </c>
      <c r="G1496" s="74" t="s">
        <v>1226</v>
      </c>
    </row>
    <row r="1497" spans="1:7" x14ac:dyDescent="0.2">
      <c r="A1497" s="39">
        <v>6302</v>
      </c>
      <c r="B1497" s="38" t="s">
        <v>909</v>
      </c>
      <c r="C1497" s="39" t="s">
        <v>839</v>
      </c>
      <c r="D1497" s="74" t="s">
        <v>1229</v>
      </c>
      <c r="E1497" s="74" t="s">
        <v>1224</v>
      </c>
      <c r="F1497" s="74" t="s">
        <v>1225</v>
      </c>
      <c r="G1497" s="74" t="s">
        <v>1226</v>
      </c>
    </row>
    <row r="1498" spans="1:7" x14ac:dyDescent="0.2">
      <c r="A1498" s="39">
        <v>6305</v>
      </c>
      <c r="B1498" s="38" t="s">
        <v>910</v>
      </c>
      <c r="C1498" s="39" t="s">
        <v>839</v>
      </c>
      <c r="D1498" s="74" t="s">
        <v>1227</v>
      </c>
      <c r="E1498" s="74" t="s">
        <v>1224</v>
      </c>
      <c r="F1498" s="74" t="s">
        <v>1226</v>
      </c>
      <c r="G1498" s="74" t="s">
        <v>1225</v>
      </c>
    </row>
    <row r="1499" spans="1:7" x14ac:dyDescent="0.2">
      <c r="A1499" s="39">
        <v>6306</v>
      </c>
      <c r="B1499" s="38" t="s">
        <v>911</v>
      </c>
      <c r="C1499" s="39" t="s">
        <v>839</v>
      </c>
      <c r="D1499" s="74" t="s">
        <v>1227</v>
      </c>
      <c r="E1499" s="74" t="s">
        <v>1224</v>
      </c>
      <c r="F1499" s="74" t="s">
        <v>1226</v>
      </c>
      <c r="G1499" s="74" t="s">
        <v>1226</v>
      </c>
    </row>
    <row r="1500" spans="1:7" x14ac:dyDescent="0.2">
      <c r="A1500" s="39">
        <v>6311</v>
      </c>
      <c r="B1500" s="38" t="s">
        <v>912</v>
      </c>
      <c r="C1500" s="39" t="s">
        <v>839</v>
      </c>
      <c r="D1500" s="74" t="s">
        <v>1227</v>
      </c>
      <c r="E1500" s="74" t="s">
        <v>1224</v>
      </c>
      <c r="F1500" s="74" t="s">
        <v>1226</v>
      </c>
      <c r="G1500" s="74" t="s">
        <v>1226</v>
      </c>
    </row>
    <row r="1501" spans="1:7" x14ac:dyDescent="0.2">
      <c r="A1501" s="39">
        <v>6313</v>
      </c>
      <c r="B1501" s="38" t="s">
        <v>913</v>
      </c>
      <c r="C1501" s="39" t="s">
        <v>839</v>
      </c>
      <c r="D1501" s="74" t="s">
        <v>1227</v>
      </c>
      <c r="E1501" s="74" t="s">
        <v>1224</v>
      </c>
      <c r="F1501" s="74" t="s">
        <v>1226</v>
      </c>
      <c r="G1501" s="74" t="s">
        <v>1225</v>
      </c>
    </row>
    <row r="1502" spans="1:7" x14ac:dyDescent="0.2">
      <c r="A1502" s="39">
        <v>6314</v>
      </c>
      <c r="B1502" s="38" t="s">
        <v>914</v>
      </c>
      <c r="C1502" s="39" t="s">
        <v>839</v>
      </c>
      <c r="D1502" s="74" t="s">
        <v>1227</v>
      </c>
      <c r="E1502" s="74" t="s">
        <v>1224</v>
      </c>
      <c r="F1502" s="74" t="s">
        <v>1226</v>
      </c>
      <c r="G1502" s="74" t="s">
        <v>1225</v>
      </c>
    </row>
    <row r="1503" spans="1:7" x14ac:dyDescent="0.2">
      <c r="A1503" s="39">
        <v>6320</v>
      </c>
      <c r="B1503" s="38" t="s">
        <v>915</v>
      </c>
      <c r="C1503" s="39" t="s">
        <v>839</v>
      </c>
      <c r="D1503" s="74" t="s">
        <v>1227</v>
      </c>
      <c r="E1503" s="74" t="s">
        <v>1224</v>
      </c>
      <c r="F1503" s="74" t="s">
        <v>1226</v>
      </c>
      <c r="G1503" s="74" t="s">
        <v>1225</v>
      </c>
    </row>
    <row r="1504" spans="1:7" x14ac:dyDescent="0.2">
      <c r="A1504" s="39">
        <v>6322</v>
      </c>
      <c r="B1504" s="38" t="s">
        <v>916</v>
      </c>
      <c r="C1504" s="39" t="s">
        <v>839</v>
      </c>
      <c r="D1504" s="74" t="s">
        <v>1227</v>
      </c>
      <c r="E1504" s="74" t="s">
        <v>1224</v>
      </c>
      <c r="F1504" s="74" t="s">
        <v>1226</v>
      </c>
      <c r="G1504" s="74" t="s">
        <v>1226</v>
      </c>
    </row>
    <row r="1505" spans="1:7" x14ac:dyDescent="0.2">
      <c r="A1505" s="39">
        <v>6323</v>
      </c>
      <c r="B1505" s="38" t="s">
        <v>917</v>
      </c>
      <c r="C1505" s="39" t="s">
        <v>839</v>
      </c>
      <c r="D1505" s="74" t="s">
        <v>1227</v>
      </c>
      <c r="E1505" s="74" t="s">
        <v>1224</v>
      </c>
      <c r="F1505" s="74" t="s">
        <v>1226</v>
      </c>
      <c r="G1505" s="74" t="s">
        <v>1226</v>
      </c>
    </row>
    <row r="1506" spans="1:7" x14ac:dyDescent="0.2">
      <c r="A1506" s="39">
        <v>6324</v>
      </c>
      <c r="B1506" s="38" t="s">
        <v>918</v>
      </c>
      <c r="C1506" s="39" t="s">
        <v>839</v>
      </c>
      <c r="D1506" s="74" t="s">
        <v>1227</v>
      </c>
      <c r="E1506" s="74" t="s">
        <v>1224</v>
      </c>
      <c r="F1506" s="74" t="s">
        <v>1226</v>
      </c>
      <c r="G1506" s="74" t="s">
        <v>1225</v>
      </c>
    </row>
    <row r="1507" spans="1:7" x14ac:dyDescent="0.2">
      <c r="A1507" s="39">
        <v>6330</v>
      </c>
      <c r="B1507" s="38" t="s">
        <v>919</v>
      </c>
      <c r="C1507" s="39" t="s">
        <v>839</v>
      </c>
      <c r="D1507" s="74" t="s">
        <v>1227</v>
      </c>
      <c r="E1507" s="74" t="s">
        <v>1224</v>
      </c>
      <c r="F1507" s="74" t="s">
        <v>1226</v>
      </c>
      <c r="G1507" s="74" t="s">
        <v>1226</v>
      </c>
    </row>
    <row r="1508" spans="1:7" x14ac:dyDescent="0.2">
      <c r="A1508" s="39">
        <v>6332</v>
      </c>
      <c r="B1508" s="38" t="s">
        <v>919</v>
      </c>
      <c r="C1508" s="39" t="s">
        <v>839</v>
      </c>
      <c r="D1508" s="74" t="s">
        <v>1229</v>
      </c>
      <c r="E1508" s="74" t="s">
        <v>1224</v>
      </c>
      <c r="F1508" s="74" t="s">
        <v>1225</v>
      </c>
      <c r="G1508" s="74" t="s">
        <v>1226</v>
      </c>
    </row>
    <row r="1509" spans="1:7" x14ac:dyDescent="0.2">
      <c r="A1509" s="39">
        <v>6333</v>
      </c>
      <c r="B1509" s="38" t="s">
        <v>919</v>
      </c>
      <c r="C1509" s="39" t="s">
        <v>839</v>
      </c>
      <c r="D1509" s="74" t="s">
        <v>1229</v>
      </c>
      <c r="E1509" s="74" t="s">
        <v>1224</v>
      </c>
      <c r="F1509" s="74" t="s">
        <v>1225</v>
      </c>
      <c r="G1509" s="74" t="s">
        <v>1226</v>
      </c>
    </row>
    <row r="1510" spans="1:7" x14ac:dyDescent="0.2">
      <c r="A1510" s="39">
        <v>6334</v>
      </c>
      <c r="B1510" s="38" t="s">
        <v>920</v>
      </c>
      <c r="C1510" s="39" t="s">
        <v>839</v>
      </c>
      <c r="D1510" s="74" t="s">
        <v>1227</v>
      </c>
      <c r="E1510" s="74" t="s">
        <v>1224</v>
      </c>
      <c r="F1510" s="74" t="s">
        <v>1226</v>
      </c>
      <c r="G1510" s="74" t="s">
        <v>1225</v>
      </c>
    </row>
    <row r="1511" spans="1:7" x14ac:dyDescent="0.2">
      <c r="A1511" s="39">
        <v>6335</v>
      </c>
      <c r="B1511" s="38" t="s">
        <v>921</v>
      </c>
      <c r="C1511" s="39" t="s">
        <v>839</v>
      </c>
      <c r="D1511" s="74" t="s">
        <v>1227</v>
      </c>
      <c r="E1511" s="74" t="s">
        <v>1224</v>
      </c>
      <c r="F1511" s="74" t="s">
        <v>1226</v>
      </c>
      <c r="G1511" s="74" t="s">
        <v>1226</v>
      </c>
    </row>
    <row r="1512" spans="1:7" x14ac:dyDescent="0.2">
      <c r="A1512" s="39">
        <v>6336</v>
      </c>
      <c r="B1512" s="38" t="s">
        <v>922</v>
      </c>
      <c r="C1512" s="39" t="s">
        <v>839</v>
      </c>
      <c r="D1512" s="74" t="s">
        <v>1227</v>
      </c>
      <c r="E1512" s="74" t="s">
        <v>1224</v>
      </c>
      <c r="F1512" s="74" t="s">
        <v>1226</v>
      </c>
      <c r="G1512" s="74" t="s">
        <v>1225</v>
      </c>
    </row>
    <row r="1513" spans="1:7" x14ac:dyDescent="0.2">
      <c r="A1513" s="39">
        <v>6341</v>
      </c>
      <c r="B1513" s="38" t="s">
        <v>923</v>
      </c>
      <c r="C1513" s="39" t="s">
        <v>839</v>
      </c>
      <c r="D1513" s="74" t="s">
        <v>1227</v>
      </c>
      <c r="E1513" s="74" t="s">
        <v>1224</v>
      </c>
      <c r="F1513" s="74" t="s">
        <v>1226</v>
      </c>
      <c r="G1513" s="74" t="s">
        <v>1226</v>
      </c>
    </row>
    <row r="1514" spans="1:7" x14ac:dyDescent="0.2">
      <c r="A1514" s="39">
        <v>6342</v>
      </c>
      <c r="B1514" s="38" t="s">
        <v>924</v>
      </c>
      <c r="C1514" s="39" t="s">
        <v>839</v>
      </c>
      <c r="D1514" s="74" t="s">
        <v>1227</v>
      </c>
      <c r="E1514" s="74" t="s">
        <v>1224</v>
      </c>
      <c r="F1514" s="74" t="s">
        <v>1226</v>
      </c>
      <c r="G1514" s="74" t="s">
        <v>1226</v>
      </c>
    </row>
    <row r="1515" spans="1:7" x14ac:dyDescent="0.2">
      <c r="A1515" s="39">
        <v>6343</v>
      </c>
      <c r="B1515" s="38" t="s">
        <v>925</v>
      </c>
      <c r="C1515" s="39" t="s">
        <v>839</v>
      </c>
      <c r="D1515" s="74" t="s">
        <v>1227</v>
      </c>
      <c r="E1515" s="74" t="s">
        <v>1224</v>
      </c>
      <c r="F1515" s="74" t="s">
        <v>1226</v>
      </c>
      <c r="G1515" s="74" t="s">
        <v>1225</v>
      </c>
    </row>
    <row r="1516" spans="1:7" x14ac:dyDescent="0.2">
      <c r="A1516" s="39">
        <v>6344</v>
      </c>
      <c r="B1516" s="38" t="s">
        <v>926</v>
      </c>
      <c r="C1516" s="39" t="s">
        <v>839</v>
      </c>
      <c r="D1516" s="74" t="s">
        <v>1227</v>
      </c>
      <c r="E1516" s="74" t="s">
        <v>1224</v>
      </c>
      <c r="F1516" s="74" t="s">
        <v>1226</v>
      </c>
      <c r="G1516" s="74" t="s">
        <v>1226</v>
      </c>
    </row>
    <row r="1517" spans="1:7" x14ac:dyDescent="0.2">
      <c r="A1517" s="39">
        <v>6345</v>
      </c>
      <c r="B1517" s="38" t="s">
        <v>927</v>
      </c>
      <c r="C1517" s="39" t="s">
        <v>839</v>
      </c>
      <c r="D1517" s="74" t="s">
        <v>1227</v>
      </c>
      <c r="E1517" s="74" t="s">
        <v>1224</v>
      </c>
      <c r="F1517" s="74" t="s">
        <v>1226</v>
      </c>
      <c r="G1517" s="74" t="s">
        <v>1226</v>
      </c>
    </row>
    <row r="1518" spans="1:7" x14ac:dyDescent="0.2">
      <c r="A1518" s="39">
        <v>6351</v>
      </c>
      <c r="B1518" s="38" t="s">
        <v>928</v>
      </c>
      <c r="C1518" s="39" t="s">
        <v>839</v>
      </c>
      <c r="D1518" s="74" t="s">
        <v>1227</v>
      </c>
      <c r="E1518" s="74" t="s">
        <v>1224</v>
      </c>
      <c r="F1518" s="74" t="s">
        <v>1226</v>
      </c>
      <c r="G1518" s="74" t="s">
        <v>1226</v>
      </c>
    </row>
    <row r="1519" spans="1:7" x14ac:dyDescent="0.2">
      <c r="A1519" s="39">
        <v>6352</v>
      </c>
      <c r="B1519" s="38" t="s">
        <v>929</v>
      </c>
      <c r="C1519" s="39" t="s">
        <v>839</v>
      </c>
      <c r="D1519" s="74" t="s">
        <v>1227</v>
      </c>
      <c r="E1519" s="74" t="s">
        <v>1224</v>
      </c>
      <c r="F1519" s="74" t="s">
        <v>1226</v>
      </c>
      <c r="G1519" s="74" t="s">
        <v>1226</v>
      </c>
    </row>
    <row r="1520" spans="1:7" x14ac:dyDescent="0.2">
      <c r="A1520" s="39">
        <v>6353</v>
      </c>
      <c r="B1520" s="38" t="s">
        <v>930</v>
      </c>
      <c r="C1520" s="39" t="s">
        <v>839</v>
      </c>
      <c r="D1520" s="74" t="s">
        <v>1227</v>
      </c>
      <c r="E1520" s="74" t="s">
        <v>1224</v>
      </c>
      <c r="F1520" s="74" t="s">
        <v>1226</v>
      </c>
      <c r="G1520" s="74" t="s">
        <v>1226</v>
      </c>
    </row>
    <row r="1521" spans="1:7" x14ac:dyDescent="0.2">
      <c r="A1521" s="39">
        <v>6361</v>
      </c>
      <c r="B1521" s="38" t="s">
        <v>931</v>
      </c>
      <c r="C1521" s="39" t="s">
        <v>839</v>
      </c>
      <c r="D1521" s="74" t="s">
        <v>1227</v>
      </c>
      <c r="E1521" s="74" t="s">
        <v>1224</v>
      </c>
      <c r="F1521" s="74" t="s">
        <v>1226</v>
      </c>
      <c r="G1521" s="74" t="s">
        <v>1226</v>
      </c>
    </row>
    <row r="1522" spans="1:7" x14ac:dyDescent="0.2">
      <c r="A1522" s="39">
        <v>6363</v>
      </c>
      <c r="B1522" s="38" t="s">
        <v>932</v>
      </c>
      <c r="C1522" s="39" t="s">
        <v>839</v>
      </c>
      <c r="D1522" s="74" t="s">
        <v>1227</v>
      </c>
      <c r="E1522" s="74" t="s">
        <v>1224</v>
      </c>
      <c r="F1522" s="74" t="s">
        <v>1226</v>
      </c>
      <c r="G1522" s="74" t="s">
        <v>1226</v>
      </c>
    </row>
    <row r="1523" spans="1:7" x14ac:dyDescent="0.2">
      <c r="A1523" s="39">
        <v>6364</v>
      </c>
      <c r="B1523" s="38" t="s">
        <v>933</v>
      </c>
      <c r="C1523" s="39" t="s">
        <v>839</v>
      </c>
      <c r="D1523" s="74" t="s">
        <v>1227</v>
      </c>
      <c r="E1523" s="74" t="s">
        <v>1224</v>
      </c>
      <c r="F1523" s="74" t="s">
        <v>1226</v>
      </c>
      <c r="G1523" s="74" t="s">
        <v>1226</v>
      </c>
    </row>
    <row r="1524" spans="1:7" x14ac:dyDescent="0.2">
      <c r="A1524" s="39">
        <v>6365</v>
      </c>
      <c r="B1524" s="38" t="s">
        <v>934</v>
      </c>
      <c r="C1524" s="39" t="s">
        <v>839</v>
      </c>
      <c r="D1524" s="74" t="s">
        <v>1227</v>
      </c>
      <c r="E1524" s="74" t="s">
        <v>1224</v>
      </c>
      <c r="F1524" s="74" t="s">
        <v>1226</v>
      </c>
      <c r="G1524" s="74" t="s">
        <v>1226</v>
      </c>
    </row>
    <row r="1525" spans="1:7" x14ac:dyDescent="0.2">
      <c r="A1525" s="39">
        <v>6370</v>
      </c>
      <c r="B1525" s="38" t="s">
        <v>935</v>
      </c>
      <c r="C1525" s="39" t="s">
        <v>839</v>
      </c>
      <c r="D1525" s="74" t="s">
        <v>1227</v>
      </c>
      <c r="E1525" s="74" t="s">
        <v>1224</v>
      </c>
      <c r="F1525" s="74" t="s">
        <v>1226</v>
      </c>
      <c r="G1525" s="74" t="s">
        <v>1226</v>
      </c>
    </row>
    <row r="1526" spans="1:7" x14ac:dyDescent="0.2">
      <c r="A1526" s="39">
        <v>6372</v>
      </c>
      <c r="B1526" s="38" t="s">
        <v>936</v>
      </c>
      <c r="C1526" s="39" t="s">
        <v>839</v>
      </c>
      <c r="D1526" s="74" t="s">
        <v>1227</v>
      </c>
      <c r="E1526" s="74" t="s">
        <v>1224</v>
      </c>
      <c r="F1526" s="74" t="s">
        <v>1226</v>
      </c>
      <c r="G1526" s="74" t="s">
        <v>1226</v>
      </c>
    </row>
    <row r="1527" spans="1:7" x14ac:dyDescent="0.2">
      <c r="A1527" s="39">
        <v>6373</v>
      </c>
      <c r="B1527" s="38" t="s">
        <v>937</v>
      </c>
      <c r="C1527" s="39" t="s">
        <v>839</v>
      </c>
      <c r="D1527" s="74" t="s">
        <v>1227</v>
      </c>
      <c r="E1527" s="74" t="s">
        <v>1224</v>
      </c>
      <c r="F1527" s="74" t="s">
        <v>1226</v>
      </c>
      <c r="G1527" s="74" t="s">
        <v>1225</v>
      </c>
    </row>
    <row r="1528" spans="1:7" x14ac:dyDescent="0.2">
      <c r="A1528" s="39">
        <v>6380</v>
      </c>
      <c r="B1528" s="38" t="s">
        <v>938</v>
      </c>
      <c r="C1528" s="39" t="s">
        <v>839</v>
      </c>
      <c r="D1528" s="74" t="s">
        <v>1227</v>
      </c>
      <c r="E1528" s="74" t="s">
        <v>1224</v>
      </c>
      <c r="F1528" s="74" t="s">
        <v>1226</v>
      </c>
      <c r="G1528" s="74" t="s">
        <v>1226</v>
      </c>
    </row>
    <row r="1529" spans="1:7" x14ac:dyDescent="0.2">
      <c r="A1529" s="39">
        <v>6382</v>
      </c>
      <c r="B1529" s="38" t="s">
        <v>939</v>
      </c>
      <c r="C1529" s="39" t="s">
        <v>839</v>
      </c>
      <c r="D1529" s="74" t="s">
        <v>1227</v>
      </c>
      <c r="E1529" s="74" t="s">
        <v>1224</v>
      </c>
      <c r="F1529" s="74" t="s">
        <v>1226</v>
      </c>
      <c r="G1529" s="74" t="s">
        <v>1225</v>
      </c>
    </row>
    <row r="1530" spans="1:7" x14ac:dyDescent="0.2">
      <c r="A1530" s="39">
        <v>6383</v>
      </c>
      <c r="B1530" s="38" t="s">
        <v>940</v>
      </c>
      <c r="C1530" s="39" t="s">
        <v>839</v>
      </c>
      <c r="D1530" s="74" t="s">
        <v>1227</v>
      </c>
      <c r="E1530" s="74" t="s">
        <v>1224</v>
      </c>
      <c r="F1530" s="74" t="s">
        <v>1226</v>
      </c>
      <c r="G1530" s="74" t="s">
        <v>1226</v>
      </c>
    </row>
    <row r="1531" spans="1:7" x14ac:dyDescent="0.2">
      <c r="A1531" s="39">
        <v>6384</v>
      </c>
      <c r="B1531" s="38" t="s">
        <v>941</v>
      </c>
      <c r="C1531" s="39" t="s">
        <v>839</v>
      </c>
      <c r="D1531" s="74" t="s">
        <v>1227</v>
      </c>
      <c r="E1531" s="74" t="s">
        <v>1224</v>
      </c>
      <c r="F1531" s="74" t="s">
        <v>1226</v>
      </c>
      <c r="G1531" s="74" t="s">
        <v>1226</v>
      </c>
    </row>
    <row r="1532" spans="1:7" x14ac:dyDescent="0.2">
      <c r="A1532" s="39">
        <v>6385</v>
      </c>
      <c r="B1532" s="38" t="s">
        <v>942</v>
      </c>
      <c r="C1532" s="39" t="s">
        <v>839</v>
      </c>
      <c r="D1532" s="74" t="s">
        <v>1227</v>
      </c>
      <c r="E1532" s="74" t="s">
        <v>1224</v>
      </c>
      <c r="F1532" s="74" t="s">
        <v>1226</v>
      </c>
      <c r="G1532" s="74" t="s">
        <v>1225</v>
      </c>
    </row>
    <row r="1533" spans="1:7" x14ac:dyDescent="0.2">
      <c r="A1533" s="39">
        <v>6391</v>
      </c>
      <c r="B1533" s="38" t="s">
        <v>943</v>
      </c>
      <c r="C1533" s="39" t="s">
        <v>839</v>
      </c>
      <c r="D1533" s="74" t="s">
        <v>1227</v>
      </c>
      <c r="E1533" s="74" t="s">
        <v>1224</v>
      </c>
      <c r="F1533" s="74" t="s">
        <v>1226</v>
      </c>
      <c r="G1533" s="74" t="s">
        <v>1226</v>
      </c>
    </row>
    <row r="1534" spans="1:7" x14ac:dyDescent="0.2">
      <c r="A1534" s="39">
        <v>6392</v>
      </c>
      <c r="B1534" s="38" t="s">
        <v>944</v>
      </c>
      <c r="C1534" s="39" t="s">
        <v>839</v>
      </c>
      <c r="D1534" s="74" t="s">
        <v>1227</v>
      </c>
      <c r="E1534" s="74" t="s">
        <v>1224</v>
      </c>
      <c r="F1534" s="74" t="s">
        <v>1226</v>
      </c>
      <c r="G1534" s="74" t="s">
        <v>1225</v>
      </c>
    </row>
    <row r="1535" spans="1:7" x14ac:dyDescent="0.2">
      <c r="A1535" s="39">
        <v>6393</v>
      </c>
      <c r="B1535" s="38" t="s">
        <v>945</v>
      </c>
      <c r="C1535" s="39" t="s">
        <v>839</v>
      </c>
      <c r="D1535" s="74" t="s">
        <v>1227</v>
      </c>
      <c r="E1535" s="74" t="s">
        <v>1224</v>
      </c>
      <c r="F1535" s="74" t="s">
        <v>1226</v>
      </c>
      <c r="G1535" s="74" t="s">
        <v>1226</v>
      </c>
    </row>
    <row r="1536" spans="1:7" x14ac:dyDescent="0.2">
      <c r="A1536" s="39">
        <v>6395</v>
      </c>
      <c r="B1536" s="38" t="s">
        <v>946</v>
      </c>
      <c r="C1536" s="39" t="s">
        <v>839</v>
      </c>
      <c r="D1536" s="74" t="s">
        <v>1227</v>
      </c>
      <c r="E1536" s="74" t="s">
        <v>1224</v>
      </c>
      <c r="F1536" s="74" t="s">
        <v>1226</v>
      </c>
      <c r="G1536" s="74" t="s">
        <v>1225</v>
      </c>
    </row>
    <row r="1537" spans="1:7" x14ac:dyDescent="0.2">
      <c r="A1537" s="39">
        <v>6401</v>
      </c>
      <c r="B1537" s="38" t="s">
        <v>947</v>
      </c>
      <c r="C1537" s="39" t="s">
        <v>839</v>
      </c>
      <c r="D1537" s="74" t="s">
        <v>1227</v>
      </c>
      <c r="E1537" s="74" t="s">
        <v>1224</v>
      </c>
      <c r="F1537" s="74" t="s">
        <v>1226</v>
      </c>
      <c r="G1537" s="74" t="s">
        <v>1226</v>
      </c>
    </row>
    <row r="1538" spans="1:7" x14ac:dyDescent="0.2">
      <c r="A1538" s="39">
        <v>6402</v>
      </c>
      <c r="B1538" s="38" t="s">
        <v>948</v>
      </c>
      <c r="C1538" s="39" t="s">
        <v>839</v>
      </c>
      <c r="D1538" s="74" t="s">
        <v>1227</v>
      </c>
      <c r="E1538" s="74" t="s">
        <v>1224</v>
      </c>
      <c r="F1538" s="74" t="s">
        <v>1226</v>
      </c>
      <c r="G1538" s="74" t="s">
        <v>1225</v>
      </c>
    </row>
    <row r="1539" spans="1:7" x14ac:dyDescent="0.2">
      <c r="A1539" s="39">
        <v>6403</v>
      </c>
      <c r="B1539" s="38" t="s">
        <v>949</v>
      </c>
      <c r="C1539" s="39" t="s">
        <v>839</v>
      </c>
      <c r="D1539" s="74" t="s">
        <v>1227</v>
      </c>
      <c r="E1539" s="74" t="s">
        <v>1224</v>
      </c>
      <c r="F1539" s="74" t="s">
        <v>1226</v>
      </c>
      <c r="G1539" s="74" t="s">
        <v>1225</v>
      </c>
    </row>
    <row r="1540" spans="1:7" x14ac:dyDescent="0.2">
      <c r="A1540" s="39">
        <v>6404</v>
      </c>
      <c r="B1540" s="38" t="s">
        <v>950</v>
      </c>
      <c r="C1540" s="39" t="s">
        <v>839</v>
      </c>
      <c r="D1540" s="74" t="s">
        <v>1227</v>
      </c>
      <c r="E1540" s="74" t="s">
        <v>1224</v>
      </c>
      <c r="F1540" s="74" t="s">
        <v>1226</v>
      </c>
      <c r="G1540" s="74" t="s">
        <v>1225</v>
      </c>
    </row>
    <row r="1541" spans="1:7" x14ac:dyDescent="0.2">
      <c r="A1541" s="39">
        <v>6405</v>
      </c>
      <c r="B1541" s="38" t="s">
        <v>951</v>
      </c>
      <c r="C1541" s="39" t="s">
        <v>839</v>
      </c>
      <c r="D1541" s="74" t="s">
        <v>1227</v>
      </c>
      <c r="E1541" s="74" t="s">
        <v>1224</v>
      </c>
      <c r="F1541" s="74" t="s">
        <v>1226</v>
      </c>
      <c r="G1541" s="74" t="s">
        <v>1225</v>
      </c>
    </row>
    <row r="1542" spans="1:7" x14ac:dyDescent="0.2">
      <c r="A1542" s="39">
        <v>6406</v>
      </c>
      <c r="B1542" s="38" t="s">
        <v>952</v>
      </c>
      <c r="C1542" s="39" t="s">
        <v>839</v>
      </c>
      <c r="D1542" s="74" t="s">
        <v>1227</v>
      </c>
      <c r="E1542" s="74" t="s">
        <v>1224</v>
      </c>
      <c r="F1542" s="74" t="s">
        <v>1226</v>
      </c>
      <c r="G1542" s="74" t="s">
        <v>1225</v>
      </c>
    </row>
    <row r="1543" spans="1:7" x14ac:dyDescent="0.2">
      <c r="A1543" s="39">
        <v>6408</v>
      </c>
      <c r="B1543" s="38" t="s">
        <v>953</v>
      </c>
      <c r="C1543" s="39" t="s">
        <v>839</v>
      </c>
      <c r="D1543" s="74" t="s">
        <v>1227</v>
      </c>
      <c r="E1543" s="74" t="s">
        <v>1224</v>
      </c>
      <c r="F1543" s="74" t="s">
        <v>1226</v>
      </c>
      <c r="G1543" s="74" t="s">
        <v>1225</v>
      </c>
    </row>
    <row r="1544" spans="1:7" x14ac:dyDescent="0.2">
      <c r="A1544" s="39">
        <v>6410</v>
      </c>
      <c r="B1544" s="38" t="s">
        <v>954</v>
      </c>
      <c r="C1544" s="39" t="s">
        <v>839</v>
      </c>
      <c r="D1544" s="74" t="s">
        <v>1227</v>
      </c>
      <c r="E1544" s="74" t="s">
        <v>1224</v>
      </c>
      <c r="F1544" s="74" t="s">
        <v>1226</v>
      </c>
      <c r="G1544" s="74" t="s">
        <v>1226</v>
      </c>
    </row>
    <row r="1545" spans="1:7" x14ac:dyDescent="0.2">
      <c r="A1545" s="39">
        <v>6412</v>
      </c>
      <c r="B1545" s="38" t="s">
        <v>955</v>
      </c>
      <c r="C1545" s="39" t="s">
        <v>839</v>
      </c>
      <c r="D1545" s="74" t="s">
        <v>1229</v>
      </c>
      <c r="E1545" s="74" t="s">
        <v>1224</v>
      </c>
      <c r="F1545" s="74" t="s">
        <v>1225</v>
      </c>
      <c r="G1545" s="74" t="s">
        <v>1226</v>
      </c>
    </row>
    <row r="1546" spans="1:7" x14ac:dyDescent="0.2">
      <c r="A1546" s="39">
        <v>6414</v>
      </c>
      <c r="B1546" s="38" t="s">
        <v>956</v>
      </c>
      <c r="C1546" s="39" t="s">
        <v>839</v>
      </c>
      <c r="D1546" s="74" t="s">
        <v>1227</v>
      </c>
      <c r="E1546" s="74" t="s">
        <v>1224</v>
      </c>
      <c r="F1546" s="74" t="s">
        <v>1226</v>
      </c>
      <c r="G1546" s="74" t="s">
        <v>1226</v>
      </c>
    </row>
    <row r="1547" spans="1:7" x14ac:dyDescent="0.2">
      <c r="A1547" s="39">
        <v>6416</v>
      </c>
      <c r="B1547" s="38" t="s">
        <v>957</v>
      </c>
      <c r="C1547" s="39" t="s">
        <v>839</v>
      </c>
      <c r="D1547" s="74" t="s">
        <v>1227</v>
      </c>
      <c r="E1547" s="74" t="s">
        <v>1224</v>
      </c>
      <c r="F1547" s="74" t="s">
        <v>1226</v>
      </c>
      <c r="G1547" s="74" t="s">
        <v>1225</v>
      </c>
    </row>
    <row r="1548" spans="1:7" x14ac:dyDescent="0.2">
      <c r="A1548" s="39">
        <v>6421</v>
      </c>
      <c r="B1548" s="38" t="s">
        <v>958</v>
      </c>
      <c r="C1548" s="39" t="s">
        <v>839</v>
      </c>
      <c r="D1548" s="74" t="s">
        <v>1227</v>
      </c>
      <c r="E1548" s="74" t="s">
        <v>1224</v>
      </c>
      <c r="F1548" s="74" t="s">
        <v>1226</v>
      </c>
      <c r="G1548" s="74" t="s">
        <v>1225</v>
      </c>
    </row>
    <row r="1549" spans="1:7" x14ac:dyDescent="0.2">
      <c r="A1549" s="39">
        <v>6422</v>
      </c>
      <c r="B1549" s="38" t="s">
        <v>959</v>
      </c>
      <c r="C1549" s="39" t="s">
        <v>839</v>
      </c>
      <c r="D1549" s="74" t="s">
        <v>1227</v>
      </c>
      <c r="E1549" s="74" t="s">
        <v>1224</v>
      </c>
      <c r="F1549" s="74" t="s">
        <v>1226</v>
      </c>
      <c r="G1549" s="74" t="s">
        <v>1226</v>
      </c>
    </row>
    <row r="1550" spans="1:7" x14ac:dyDescent="0.2">
      <c r="A1550" s="39">
        <v>6423</v>
      </c>
      <c r="B1550" s="38" t="s">
        <v>960</v>
      </c>
      <c r="C1550" s="39" t="s">
        <v>839</v>
      </c>
      <c r="D1550" s="74" t="s">
        <v>1227</v>
      </c>
      <c r="E1550" s="74" t="s">
        <v>1224</v>
      </c>
      <c r="F1550" s="74" t="s">
        <v>1226</v>
      </c>
      <c r="G1550" s="74" t="s">
        <v>1225</v>
      </c>
    </row>
    <row r="1551" spans="1:7" x14ac:dyDescent="0.2">
      <c r="A1551" s="39">
        <v>6424</v>
      </c>
      <c r="B1551" s="38" t="s">
        <v>961</v>
      </c>
      <c r="C1551" s="39" t="s">
        <v>839</v>
      </c>
      <c r="D1551" s="74" t="s">
        <v>1227</v>
      </c>
      <c r="E1551" s="74" t="s">
        <v>1224</v>
      </c>
      <c r="F1551" s="74" t="s">
        <v>1226</v>
      </c>
      <c r="G1551" s="74" t="s">
        <v>1226</v>
      </c>
    </row>
    <row r="1552" spans="1:7" x14ac:dyDescent="0.2">
      <c r="A1552" s="39">
        <v>6425</v>
      </c>
      <c r="B1552" s="38" t="s">
        <v>962</v>
      </c>
      <c r="C1552" s="39" t="s">
        <v>839</v>
      </c>
      <c r="D1552" s="74" t="s">
        <v>1227</v>
      </c>
      <c r="E1552" s="74" t="s">
        <v>1224</v>
      </c>
      <c r="F1552" s="74" t="s">
        <v>1226</v>
      </c>
      <c r="G1552" s="74" t="s">
        <v>1226</v>
      </c>
    </row>
    <row r="1553" spans="1:7" x14ac:dyDescent="0.2">
      <c r="A1553" s="39">
        <v>6426</v>
      </c>
      <c r="B1553" s="38" t="s">
        <v>963</v>
      </c>
      <c r="C1553" s="39" t="s">
        <v>839</v>
      </c>
      <c r="D1553" s="74" t="s">
        <v>1227</v>
      </c>
      <c r="E1553" s="74" t="s">
        <v>1224</v>
      </c>
      <c r="F1553" s="74" t="s">
        <v>1226</v>
      </c>
      <c r="G1553" s="74" t="s">
        <v>1225</v>
      </c>
    </row>
    <row r="1554" spans="1:7" x14ac:dyDescent="0.2">
      <c r="A1554" s="39">
        <v>6430</v>
      </c>
      <c r="B1554" s="38" t="s">
        <v>964</v>
      </c>
      <c r="C1554" s="39" t="s">
        <v>839</v>
      </c>
      <c r="D1554" s="74" t="s">
        <v>1227</v>
      </c>
      <c r="E1554" s="74" t="s">
        <v>1224</v>
      </c>
      <c r="F1554" s="74" t="s">
        <v>1226</v>
      </c>
      <c r="G1554" s="74" t="s">
        <v>1226</v>
      </c>
    </row>
    <row r="1555" spans="1:7" x14ac:dyDescent="0.2">
      <c r="A1555" s="39">
        <v>6432</v>
      </c>
      <c r="B1555" s="38" t="s">
        <v>965</v>
      </c>
      <c r="C1555" s="39" t="s">
        <v>839</v>
      </c>
      <c r="D1555" s="74" t="s">
        <v>1227</v>
      </c>
      <c r="E1555" s="74" t="s">
        <v>1224</v>
      </c>
      <c r="F1555" s="74" t="s">
        <v>1226</v>
      </c>
      <c r="G1555" s="74" t="s">
        <v>1225</v>
      </c>
    </row>
    <row r="1556" spans="1:7" x14ac:dyDescent="0.2">
      <c r="A1556" s="39">
        <v>6433</v>
      </c>
      <c r="B1556" s="38" t="s">
        <v>966</v>
      </c>
      <c r="C1556" s="39" t="s">
        <v>839</v>
      </c>
      <c r="D1556" s="74" t="s">
        <v>1227</v>
      </c>
      <c r="E1556" s="74" t="s">
        <v>1224</v>
      </c>
      <c r="F1556" s="74" t="s">
        <v>1226</v>
      </c>
      <c r="G1556" s="74" t="s">
        <v>1226</v>
      </c>
    </row>
    <row r="1557" spans="1:7" x14ac:dyDescent="0.2">
      <c r="A1557" s="39">
        <v>6441</v>
      </c>
      <c r="B1557" s="38" t="s">
        <v>967</v>
      </c>
      <c r="C1557" s="39" t="s">
        <v>839</v>
      </c>
      <c r="D1557" s="74" t="s">
        <v>1227</v>
      </c>
      <c r="E1557" s="74" t="s">
        <v>1224</v>
      </c>
      <c r="F1557" s="74" t="s">
        <v>1226</v>
      </c>
      <c r="G1557" s="74" t="s">
        <v>1226</v>
      </c>
    </row>
    <row r="1558" spans="1:7" x14ac:dyDescent="0.2">
      <c r="A1558" s="39">
        <v>6444</v>
      </c>
      <c r="B1558" s="38" t="s">
        <v>968</v>
      </c>
      <c r="C1558" s="39" t="s">
        <v>839</v>
      </c>
      <c r="D1558" s="74" t="s">
        <v>1227</v>
      </c>
      <c r="E1558" s="74" t="s">
        <v>1224</v>
      </c>
      <c r="F1558" s="74" t="s">
        <v>1226</v>
      </c>
      <c r="G1558" s="74" t="s">
        <v>1226</v>
      </c>
    </row>
    <row r="1559" spans="1:7" x14ac:dyDescent="0.2">
      <c r="A1559" s="39">
        <v>6450</v>
      </c>
      <c r="B1559" s="38" t="s">
        <v>969</v>
      </c>
      <c r="C1559" s="39" t="s">
        <v>839</v>
      </c>
      <c r="D1559" s="74" t="s">
        <v>1227</v>
      </c>
      <c r="E1559" s="74" t="s">
        <v>1224</v>
      </c>
      <c r="F1559" s="74" t="s">
        <v>1226</v>
      </c>
      <c r="G1559" s="74" t="s">
        <v>1226</v>
      </c>
    </row>
    <row r="1560" spans="1:7" x14ac:dyDescent="0.2">
      <c r="A1560" s="39">
        <v>6452</v>
      </c>
      <c r="B1560" s="38" t="s">
        <v>970</v>
      </c>
      <c r="C1560" s="39" t="s">
        <v>839</v>
      </c>
      <c r="D1560" s="74" t="s">
        <v>1227</v>
      </c>
      <c r="E1560" s="74" t="s">
        <v>1224</v>
      </c>
      <c r="F1560" s="74" t="s">
        <v>1226</v>
      </c>
      <c r="G1560" s="74" t="s">
        <v>1225</v>
      </c>
    </row>
    <row r="1561" spans="1:7" x14ac:dyDescent="0.2">
      <c r="A1561" s="39">
        <v>6456</v>
      </c>
      <c r="B1561" s="38" t="s">
        <v>971</v>
      </c>
      <c r="C1561" s="39" t="s">
        <v>839</v>
      </c>
      <c r="D1561" s="74" t="s">
        <v>1227</v>
      </c>
      <c r="E1561" s="74" t="s">
        <v>1224</v>
      </c>
      <c r="F1561" s="74" t="s">
        <v>1226</v>
      </c>
      <c r="G1561" s="74" t="s">
        <v>1226</v>
      </c>
    </row>
    <row r="1562" spans="1:7" x14ac:dyDescent="0.2">
      <c r="A1562" s="39">
        <v>6458</v>
      </c>
      <c r="B1562" s="38" t="s">
        <v>972</v>
      </c>
      <c r="C1562" s="39" t="s">
        <v>839</v>
      </c>
      <c r="D1562" s="74" t="s">
        <v>1227</v>
      </c>
      <c r="E1562" s="74" t="s">
        <v>1224</v>
      </c>
      <c r="F1562" s="74" t="s">
        <v>1226</v>
      </c>
      <c r="G1562" s="74" t="s">
        <v>1225</v>
      </c>
    </row>
    <row r="1563" spans="1:7" x14ac:dyDescent="0.2">
      <c r="A1563" s="39">
        <v>6460</v>
      </c>
      <c r="B1563" s="38" t="s">
        <v>173</v>
      </c>
      <c r="C1563" s="39" t="s">
        <v>839</v>
      </c>
      <c r="D1563" s="74" t="s">
        <v>1227</v>
      </c>
      <c r="E1563" s="74" t="s">
        <v>1224</v>
      </c>
      <c r="F1563" s="74" t="s">
        <v>1226</v>
      </c>
      <c r="G1563" s="74" t="s">
        <v>1226</v>
      </c>
    </row>
    <row r="1564" spans="1:7" x14ac:dyDescent="0.2">
      <c r="A1564" s="39">
        <v>6462</v>
      </c>
      <c r="B1564" s="38" t="s">
        <v>973</v>
      </c>
      <c r="C1564" s="39" t="s">
        <v>839</v>
      </c>
      <c r="D1564" s="74" t="s">
        <v>1227</v>
      </c>
      <c r="E1564" s="74" t="s">
        <v>1224</v>
      </c>
      <c r="F1564" s="74" t="s">
        <v>1226</v>
      </c>
      <c r="G1564" s="74" t="s">
        <v>1225</v>
      </c>
    </row>
    <row r="1565" spans="1:7" x14ac:dyDescent="0.2">
      <c r="A1565" s="39">
        <v>6464</v>
      </c>
      <c r="B1565" s="38" t="s">
        <v>974</v>
      </c>
      <c r="C1565" s="39" t="s">
        <v>839</v>
      </c>
      <c r="D1565" s="74" t="s">
        <v>1227</v>
      </c>
      <c r="E1565" s="74" t="s">
        <v>1224</v>
      </c>
      <c r="F1565" s="74" t="s">
        <v>1226</v>
      </c>
      <c r="G1565" s="74" t="s">
        <v>1225</v>
      </c>
    </row>
    <row r="1566" spans="1:7" x14ac:dyDescent="0.2">
      <c r="A1566" s="39">
        <v>6465</v>
      </c>
      <c r="B1566" s="38" t="s">
        <v>975</v>
      </c>
      <c r="C1566" s="39" t="s">
        <v>839</v>
      </c>
      <c r="D1566" s="74" t="s">
        <v>1227</v>
      </c>
      <c r="E1566" s="74" t="s">
        <v>1224</v>
      </c>
      <c r="F1566" s="74" t="s">
        <v>1226</v>
      </c>
      <c r="G1566" s="74" t="s">
        <v>1226</v>
      </c>
    </row>
    <row r="1567" spans="1:7" x14ac:dyDescent="0.2">
      <c r="A1567" s="39">
        <v>6471</v>
      </c>
      <c r="B1567" s="38" t="s">
        <v>976</v>
      </c>
      <c r="C1567" s="39" t="s">
        <v>839</v>
      </c>
      <c r="D1567" s="74" t="s">
        <v>1227</v>
      </c>
      <c r="E1567" s="74" t="s">
        <v>1224</v>
      </c>
      <c r="F1567" s="74" t="s">
        <v>1226</v>
      </c>
      <c r="G1567" s="74" t="s">
        <v>1226</v>
      </c>
    </row>
    <row r="1568" spans="1:7" x14ac:dyDescent="0.2">
      <c r="A1568" s="39">
        <v>6473</v>
      </c>
      <c r="B1568" s="38" t="s">
        <v>977</v>
      </c>
      <c r="C1568" s="39" t="s">
        <v>839</v>
      </c>
      <c r="D1568" s="74" t="s">
        <v>1227</v>
      </c>
      <c r="E1568" s="74" t="s">
        <v>1224</v>
      </c>
      <c r="F1568" s="74" t="s">
        <v>1226</v>
      </c>
      <c r="G1568" s="74" t="s">
        <v>1226</v>
      </c>
    </row>
    <row r="1569" spans="1:7" x14ac:dyDescent="0.2">
      <c r="A1569" s="39">
        <v>6474</v>
      </c>
      <c r="B1569" s="38" t="s">
        <v>978</v>
      </c>
      <c r="C1569" s="39" t="s">
        <v>839</v>
      </c>
      <c r="D1569" s="74" t="s">
        <v>1227</v>
      </c>
      <c r="E1569" s="74" t="s">
        <v>1224</v>
      </c>
      <c r="F1569" s="74" t="s">
        <v>1226</v>
      </c>
      <c r="G1569" s="74" t="s">
        <v>1225</v>
      </c>
    </row>
    <row r="1570" spans="1:7" x14ac:dyDescent="0.2">
      <c r="A1570" s="39">
        <v>6481</v>
      </c>
      <c r="B1570" s="38" t="s">
        <v>979</v>
      </c>
      <c r="C1570" s="39" t="s">
        <v>839</v>
      </c>
      <c r="D1570" s="74" t="s">
        <v>1227</v>
      </c>
      <c r="E1570" s="74" t="s">
        <v>1224</v>
      </c>
      <c r="F1570" s="74" t="s">
        <v>1226</v>
      </c>
      <c r="G1570" s="74" t="s">
        <v>1226</v>
      </c>
    </row>
    <row r="1571" spans="1:7" x14ac:dyDescent="0.2">
      <c r="A1571" s="39">
        <v>6491</v>
      </c>
      <c r="B1571" s="38" t="s">
        <v>980</v>
      </c>
      <c r="C1571" s="39" t="s">
        <v>839</v>
      </c>
      <c r="D1571" s="74" t="s">
        <v>1227</v>
      </c>
      <c r="E1571" s="74" t="s">
        <v>1224</v>
      </c>
      <c r="F1571" s="74" t="s">
        <v>1226</v>
      </c>
      <c r="G1571" s="74" t="s">
        <v>1225</v>
      </c>
    </row>
    <row r="1572" spans="1:7" x14ac:dyDescent="0.2">
      <c r="A1572" s="39">
        <v>6492</v>
      </c>
      <c r="B1572" s="38" t="s">
        <v>981</v>
      </c>
      <c r="C1572" s="39" t="s">
        <v>839</v>
      </c>
      <c r="D1572" s="74" t="s">
        <v>1227</v>
      </c>
      <c r="E1572" s="74" t="s">
        <v>1224</v>
      </c>
      <c r="F1572" s="74" t="s">
        <v>1226</v>
      </c>
      <c r="G1572" s="74" t="s">
        <v>1225</v>
      </c>
    </row>
    <row r="1573" spans="1:7" x14ac:dyDescent="0.2">
      <c r="A1573" s="39">
        <v>6500</v>
      </c>
      <c r="B1573" s="38" t="s">
        <v>982</v>
      </c>
      <c r="C1573" s="39" t="s">
        <v>839</v>
      </c>
      <c r="D1573" s="74" t="s">
        <v>1227</v>
      </c>
      <c r="E1573" s="74" t="s">
        <v>1224</v>
      </c>
      <c r="F1573" s="74" t="s">
        <v>1226</v>
      </c>
      <c r="G1573" s="74" t="s">
        <v>1226</v>
      </c>
    </row>
    <row r="1574" spans="1:7" x14ac:dyDescent="0.2">
      <c r="A1574" s="39">
        <v>6503</v>
      </c>
      <c r="B1574" s="38" t="s">
        <v>983</v>
      </c>
      <c r="C1574" s="39" t="s">
        <v>839</v>
      </c>
      <c r="D1574" s="74" t="s">
        <v>1229</v>
      </c>
      <c r="E1574" s="74" t="s">
        <v>1224</v>
      </c>
      <c r="F1574" s="74" t="s">
        <v>1225</v>
      </c>
      <c r="G1574" s="74" t="s">
        <v>1226</v>
      </c>
    </row>
    <row r="1575" spans="1:7" x14ac:dyDescent="0.2">
      <c r="A1575" s="39">
        <v>6511</v>
      </c>
      <c r="B1575" s="38" t="s">
        <v>984</v>
      </c>
      <c r="C1575" s="39" t="s">
        <v>839</v>
      </c>
      <c r="D1575" s="74" t="s">
        <v>1227</v>
      </c>
      <c r="E1575" s="74" t="s">
        <v>1224</v>
      </c>
      <c r="F1575" s="74" t="s">
        <v>1226</v>
      </c>
      <c r="G1575" s="74" t="s">
        <v>1226</v>
      </c>
    </row>
    <row r="1576" spans="1:7" x14ac:dyDescent="0.2">
      <c r="A1576" s="39">
        <v>6521</v>
      </c>
      <c r="B1576" s="38" t="s">
        <v>985</v>
      </c>
      <c r="C1576" s="39" t="s">
        <v>839</v>
      </c>
      <c r="D1576" s="74" t="s">
        <v>1227</v>
      </c>
      <c r="E1576" s="74" t="s">
        <v>1224</v>
      </c>
      <c r="F1576" s="74" t="s">
        <v>1226</v>
      </c>
      <c r="G1576" s="74" t="s">
        <v>1225</v>
      </c>
    </row>
    <row r="1577" spans="1:7" x14ac:dyDescent="0.2">
      <c r="A1577" s="39">
        <v>6522</v>
      </c>
      <c r="B1577" s="38" t="s">
        <v>986</v>
      </c>
      <c r="C1577" s="39" t="s">
        <v>839</v>
      </c>
      <c r="D1577" s="74" t="s">
        <v>1227</v>
      </c>
      <c r="E1577" s="74" t="s">
        <v>1224</v>
      </c>
      <c r="F1577" s="74" t="s">
        <v>1226</v>
      </c>
      <c r="G1577" s="74" t="s">
        <v>1226</v>
      </c>
    </row>
    <row r="1578" spans="1:7" x14ac:dyDescent="0.2">
      <c r="A1578" s="39">
        <v>6524</v>
      </c>
      <c r="B1578" s="38" t="s">
        <v>987</v>
      </c>
      <c r="C1578" s="39" t="s">
        <v>839</v>
      </c>
      <c r="D1578" s="74" t="s">
        <v>1227</v>
      </c>
      <c r="E1578" s="74" t="s">
        <v>1224</v>
      </c>
      <c r="F1578" s="74" t="s">
        <v>1226</v>
      </c>
      <c r="G1578" s="74" t="s">
        <v>1225</v>
      </c>
    </row>
    <row r="1579" spans="1:7" x14ac:dyDescent="0.2">
      <c r="A1579" s="39">
        <v>6527</v>
      </c>
      <c r="B1579" s="38" t="s">
        <v>988</v>
      </c>
      <c r="C1579" s="39" t="s">
        <v>839</v>
      </c>
      <c r="D1579" s="74" t="s">
        <v>1227</v>
      </c>
      <c r="E1579" s="74" t="s">
        <v>1224</v>
      </c>
      <c r="F1579" s="74" t="s">
        <v>1226</v>
      </c>
      <c r="G1579" s="74" t="s">
        <v>1225</v>
      </c>
    </row>
    <row r="1580" spans="1:7" x14ac:dyDescent="0.2">
      <c r="A1580" s="39">
        <v>6528</v>
      </c>
      <c r="B1580" s="38" t="s">
        <v>989</v>
      </c>
      <c r="C1580" s="39" t="s">
        <v>839</v>
      </c>
      <c r="D1580" s="74" t="s">
        <v>1227</v>
      </c>
      <c r="E1580" s="74" t="s">
        <v>1224</v>
      </c>
      <c r="F1580" s="74" t="s">
        <v>1226</v>
      </c>
      <c r="G1580" s="74" t="s">
        <v>1225</v>
      </c>
    </row>
    <row r="1581" spans="1:7" x14ac:dyDescent="0.2">
      <c r="A1581" s="39">
        <v>6531</v>
      </c>
      <c r="B1581" s="38" t="s">
        <v>990</v>
      </c>
      <c r="C1581" s="39" t="s">
        <v>839</v>
      </c>
      <c r="D1581" s="74" t="s">
        <v>1227</v>
      </c>
      <c r="E1581" s="74" t="s">
        <v>1224</v>
      </c>
      <c r="F1581" s="74" t="s">
        <v>1226</v>
      </c>
      <c r="G1581" s="74" t="s">
        <v>1226</v>
      </c>
    </row>
    <row r="1582" spans="1:7" x14ac:dyDescent="0.2">
      <c r="A1582" s="39">
        <v>6532</v>
      </c>
      <c r="B1582" s="38" t="s">
        <v>991</v>
      </c>
      <c r="C1582" s="39" t="s">
        <v>839</v>
      </c>
      <c r="D1582" s="74" t="s">
        <v>1227</v>
      </c>
      <c r="E1582" s="74" t="s">
        <v>1224</v>
      </c>
      <c r="F1582" s="74" t="s">
        <v>1226</v>
      </c>
      <c r="G1582" s="74" t="s">
        <v>1225</v>
      </c>
    </row>
    <row r="1583" spans="1:7" x14ac:dyDescent="0.2">
      <c r="A1583" s="39">
        <v>6533</v>
      </c>
      <c r="B1583" s="38" t="s">
        <v>992</v>
      </c>
      <c r="C1583" s="39" t="s">
        <v>839</v>
      </c>
      <c r="D1583" s="74" t="s">
        <v>1227</v>
      </c>
      <c r="E1583" s="74" t="s">
        <v>1224</v>
      </c>
      <c r="F1583" s="74" t="s">
        <v>1226</v>
      </c>
      <c r="G1583" s="74" t="s">
        <v>1226</v>
      </c>
    </row>
    <row r="1584" spans="1:7" x14ac:dyDescent="0.2">
      <c r="A1584" s="39">
        <v>6534</v>
      </c>
      <c r="B1584" s="38" t="s">
        <v>993</v>
      </c>
      <c r="C1584" s="39" t="s">
        <v>839</v>
      </c>
      <c r="D1584" s="74" t="s">
        <v>1227</v>
      </c>
      <c r="E1584" s="74" t="s">
        <v>1224</v>
      </c>
      <c r="F1584" s="74" t="s">
        <v>1226</v>
      </c>
      <c r="G1584" s="74" t="s">
        <v>1226</v>
      </c>
    </row>
    <row r="1585" spans="1:7" x14ac:dyDescent="0.2">
      <c r="A1585" s="39">
        <v>6541</v>
      </c>
      <c r="B1585" s="38" t="s">
        <v>994</v>
      </c>
      <c r="C1585" s="39" t="s">
        <v>839</v>
      </c>
      <c r="D1585" s="74" t="s">
        <v>1227</v>
      </c>
      <c r="E1585" s="74" t="s">
        <v>1224</v>
      </c>
      <c r="F1585" s="74" t="s">
        <v>1226</v>
      </c>
      <c r="G1585" s="74" t="s">
        <v>1225</v>
      </c>
    </row>
    <row r="1586" spans="1:7" x14ac:dyDescent="0.2">
      <c r="A1586" s="39">
        <v>6542</v>
      </c>
      <c r="B1586" s="38" t="s">
        <v>995</v>
      </c>
      <c r="C1586" s="39" t="s">
        <v>839</v>
      </c>
      <c r="D1586" s="74" t="s">
        <v>1227</v>
      </c>
      <c r="E1586" s="74" t="s">
        <v>1224</v>
      </c>
      <c r="F1586" s="74" t="s">
        <v>1226</v>
      </c>
      <c r="G1586" s="74" t="s">
        <v>1226</v>
      </c>
    </row>
    <row r="1587" spans="1:7" x14ac:dyDescent="0.2">
      <c r="A1587" s="39">
        <v>6543</v>
      </c>
      <c r="B1587" s="38" t="s">
        <v>218</v>
      </c>
      <c r="C1587" s="39" t="s">
        <v>839</v>
      </c>
      <c r="D1587" s="74" t="s">
        <v>1227</v>
      </c>
      <c r="E1587" s="74" t="s">
        <v>1224</v>
      </c>
      <c r="F1587" s="74" t="s">
        <v>1226</v>
      </c>
      <c r="G1587" s="74" t="s">
        <v>1226</v>
      </c>
    </row>
    <row r="1588" spans="1:7" x14ac:dyDescent="0.2">
      <c r="A1588" s="39">
        <v>6544</v>
      </c>
      <c r="B1588" s="38" t="s">
        <v>996</v>
      </c>
      <c r="C1588" s="39" t="s">
        <v>839</v>
      </c>
      <c r="D1588" s="74" t="s">
        <v>1227</v>
      </c>
      <c r="E1588" s="74" t="s">
        <v>1224</v>
      </c>
      <c r="F1588" s="74" t="s">
        <v>1226</v>
      </c>
      <c r="G1588" s="74" t="s">
        <v>1225</v>
      </c>
    </row>
    <row r="1589" spans="1:7" x14ac:dyDescent="0.2">
      <c r="A1589" s="39">
        <v>6551</v>
      </c>
      <c r="B1589" s="38" t="s">
        <v>997</v>
      </c>
      <c r="C1589" s="39" t="s">
        <v>839</v>
      </c>
      <c r="D1589" s="74" t="s">
        <v>1227</v>
      </c>
      <c r="E1589" s="74" t="s">
        <v>1224</v>
      </c>
      <c r="F1589" s="74" t="s">
        <v>1226</v>
      </c>
      <c r="G1589" s="74" t="s">
        <v>1226</v>
      </c>
    </row>
    <row r="1590" spans="1:7" x14ac:dyDescent="0.2">
      <c r="A1590" s="39">
        <v>6552</v>
      </c>
      <c r="B1590" s="38" t="s">
        <v>998</v>
      </c>
      <c r="C1590" s="39" t="s">
        <v>839</v>
      </c>
      <c r="D1590" s="74" t="s">
        <v>1227</v>
      </c>
      <c r="E1590" s="74" t="s">
        <v>1224</v>
      </c>
      <c r="F1590" s="74" t="s">
        <v>1226</v>
      </c>
      <c r="G1590" s="74" t="s">
        <v>1225</v>
      </c>
    </row>
    <row r="1591" spans="1:7" x14ac:dyDescent="0.2">
      <c r="A1591" s="39">
        <v>6553</v>
      </c>
      <c r="B1591" s="38" t="s">
        <v>999</v>
      </c>
      <c r="C1591" s="39" t="s">
        <v>839</v>
      </c>
      <c r="D1591" s="74" t="s">
        <v>1227</v>
      </c>
      <c r="E1591" s="74" t="s">
        <v>1224</v>
      </c>
      <c r="F1591" s="74" t="s">
        <v>1226</v>
      </c>
      <c r="G1591" s="74" t="s">
        <v>1226</v>
      </c>
    </row>
    <row r="1592" spans="1:7" x14ac:dyDescent="0.2">
      <c r="A1592" s="39">
        <v>6555</v>
      </c>
      <c r="B1592" s="38" t="s">
        <v>1000</v>
      </c>
      <c r="C1592" s="39" t="s">
        <v>839</v>
      </c>
      <c r="D1592" s="74" t="s">
        <v>1227</v>
      </c>
      <c r="E1592" s="74" t="s">
        <v>1224</v>
      </c>
      <c r="F1592" s="74" t="s">
        <v>1226</v>
      </c>
      <c r="G1592" s="74" t="s">
        <v>1226</v>
      </c>
    </row>
    <row r="1593" spans="1:7" x14ac:dyDescent="0.2">
      <c r="A1593" s="39">
        <v>6561</v>
      </c>
      <c r="B1593" s="38" t="s">
        <v>1001</v>
      </c>
      <c r="C1593" s="39" t="s">
        <v>839</v>
      </c>
      <c r="D1593" s="74" t="s">
        <v>1227</v>
      </c>
      <c r="E1593" s="74" t="s">
        <v>1224</v>
      </c>
      <c r="F1593" s="74" t="s">
        <v>1226</v>
      </c>
      <c r="G1593" s="74" t="s">
        <v>1226</v>
      </c>
    </row>
    <row r="1594" spans="1:7" x14ac:dyDescent="0.2">
      <c r="A1594" s="39">
        <v>6562</v>
      </c>
      <c r="B1594" s="38" t="s">
        <v>1002</v>
      </c>
      <c r="C1594" s="39" t="s">
        <v>839</v>
      </c>
      <c r="D1594" s="74" t="s">
        <v>1227</v>
      </c>
      <c r="E1594" s="74" t="s">
        <v>1224</v>
      </c>
      <c r="F1594" s="74" t="s">
        <v>1226</v>
      </c>
      <c r="G1594" s="74" t="s">
        <v>1225</v>
      </c>
    </row>
    <row r="1595" spans="1:7" x14ac:dyDescent="0.2">
      <c r="A1595" s="39">
        <v>6563</v>
      </c>
      <c r="B1595" s="38" t="s">
        <v>1003</v>
      </c>
      <c r="C1595" s="39" t="s">
        <v>839</v>
      </c>
      <c r="D1595" s="74" t="s">
        <v>1227</v>
      </c>
      <c r="E1595" s="74" t="s">
        <v>1224</v>
      </c>
      <c r="F1595" s="74" t="s">
        <v>1226</v>
      </c>
      <c r="G1595" s="74" t="s">
        <v>1226</v>
      </c>
    </row>
    <row r="1596" spans="1:7" x14ac:dyDescent="0.2">
      <c r="A1596" s="39">
        <v>6571</v>
      </c>
      <c r="B1596" s="38" t="s">
        <v>1004</v>
      </c>
      <c r="C1596" s="39" t="s">
        <v>839</v>
      </c>
      <c r="D1596" s="74" t="s">
        <v>1227</v>
      </c>
      <c r="E1596" s="74" t="s">
        <v>1224</v>
      </c>
      <c r="F1596" s="74" t="s">
        <v>1226</v>
      </c>
      <c r="G1596" s="74" t="s">
        <v>1225</v>
      </c>
    </row>
    <row r="1597" spans="1:7" x14ac:dyDescent="0.2">
      <c r="A1597" s="39">
        <v>6572</v>
      </c>
      <c r="B1597" s="38" t="s">
        <v>1005</v>
      </c>
      <c r="C1597" s="39" t="s">
        <v>839</v>
      </c>
      <c r="D1597" s="74" t="s">
        <v>1227</v>
      </c>
      <c r="E1597" s="74" t="s">
        <v>1224</v>
      </c>
      <c r="F1597" s="74" t="s">
        <v>1226</v>
      </c>
      <c r="G1597" s="74" t="s">
        <v>1226</v>
      </c>
    </row>
    <row r="1598" spans="1:7" x14ac:dyDescent="0.2">
      <c r="A1598" s="39">
        <v>6574</v>
      </c>
      <c r="B1598" s="38" t="s">
        <v>1006</v>
      </c>
      <c r="C1598" s="39" t="s">
        <v>839</v>
      </c>
      <c r="D1598" s="74" t="s">
        <v>1227</v>
      </c>
      <c r="E1598" s="74" t="s">
        <v>1224</v>
      </c>
      <c r="F1598" s="74" t="s">
        <v>1226</v>
      </c>
      <c r="G1598" s="74" t="s">
        <v>1226</v>
      </c>
    </row>
    <row r="1599" spans="1:7" x14ac:dyDescent="0.2">
      <c r="A1599" s="39">
        <v>6580</v>
      </c>
      <c r="B1599" s="38" t="s">
        <v>1007</v>
      </c>
      <c r="C1599" s="39" t="s">
        <v>839</v>
      </c>
      <c r="D1599" s="74" t="s">
        <v>1227</v>
      </c>
      <c r="E1599" s="74" t="s">
        <v>1224</v>
      </c>
      <c r="F1599" s="74" t="s">
        <v>1226</v>
      </c>
      <c r="G1599" s="74" t="s">
        <v>1226</v>
      </c>
    </row>
    <row r="1600" spans="1:7" x14ac:dyDescent="0.2">
      <c r="A1600" s="39">
        <v>6591</v>
      </c>
      <c r="B1600" s="38" t="s">
        <v>1008</v>
      </c>
      <c r="C1600" s="39" t="s">
        <v>839</v>
      </c>
      <c r="D1600" s="74" t="s">
        <v>1227</v>
      </c>
      <c r="E1600" s="74" t="s">
        <v>1224</v>
      </c>
      <c r="F1600" s="74" t="s">
        <v>1226</v>
      </c>
      <c r="G1600" s="74" t="s">
        <v>1225</v>
      </c>
    </row>
    <row r="1601" spans="1:7" x14ac:dyDescent="0.2">
      <c r="A1601" s="39">
        <v>6600</v>
      </c>
      <c r="B1601" s="38" t="s">
        <v>1009</v>
      </c>
      <c r="C1601" s="39" t="s">
        <v>839</v>
      </c>
      <c r="D1601" s="74" t="s">
        <v>1227</v>
      </c>
      <c r="E1601" s="74" t="s">
        <v>1224</v>
      </c>
      <c r="F1601" s="74" t="s">
        <v>1226</v>
      </c>
      <c r="G1601" s="74" t="s">
        <v>1226</v>
      </c>
    </row>
    <row r="1602" spans="1:7" x14ac:dyDescent="0.2">
      <c r="A1602" s="39">
        <v>6610</v>
      </c>
      <c r="B1602" s="38" t="s">
        <v>1010</v>
      </c>
      <c r="C1602" s="39" t="s">
        <v>839</v>
      </c>
      <c r="D1602" s="74" t="s">
        <v>1227</v>
      </c>
      <c r="E1602" s="74" t="s">
        <v>1224</v>
      </c>
      <c r="F1602" s="74" t="s">
        <v>1226</v>
      </c>
      <c r="G1602" s="74" t="s">
        <v>1225</v>
      </c>
    </row>
    <row r="1603" spans="1:7" x14ac:dyDescent="0.2">
      <c r="A1603" s="39">
        <v>6611</v>
      </c>
      <c r="B1603" s="38" t="s">
        <v>1011</v>
      </c>
      <c r="C1603" s="39" t="s">
        <v>839</v>
      </c>
      <c r="D1603" s="74" t="s">
        <v>1227</v>
      </c>
      <c r="E1603" s="74" t="s">
        <v>1224</v>
      </c>
      <c r="F1603" s="74" t="s">
        <v>1226</v>
      </c>
      <c r="G1603" s="74" t="s">
        <v>1225</v>
      </c>
    </row>
    <row r="1604" spans="1:7" x14ac:dyDescent="0.2">
      <c r="A1604" s="39">
        <v>6621</v>
      </c>
      <c r="B1604" s="38" t="s">
        <v>1012</v>
      </c>
      <c r="C1604" s="39" t="s">
        <v>839</v>
      </c>
      <c r="D1604" s="74" t="s">
        <v>1227</v>
      </c>
      <c r="E1604" s="74" t="s">
        <v>1224</v>
      </c>
      <c r="F1604" s="74" t="s">
        <v>1226</v>
      </c>
      <c r="G1604" s="74" t="s">
        <v>1226</v>
      </c>
    </row>
    <row r="1605" spans="1:7" x14ac:dyDescent="0.2">
      <c r="A1605" s="39">
        <v>6622</v>
      </c>
      <c r="B1605" s="38" t="s">
        <v>1013</v>
      </c>
      <c r="C1605" s="39" t="s">
        <v>839</v>
      </c>
      <c r="D1605" s="74" t="s">
        <v>1227</v>
      </c>
      <c r="E1605" s="74" t="s">
        <v>1224</v>
      </c>
      <c r="F1605" s="74" t="s">
        <v>1226</v>
      </c>
      <c r="G1605" s="74" t="s">
        <v>1225</v>
      </c>
    </row>
    <row r="1606" spans="1:7" x14ac:dyDescent="0.2">
      <c r="A1606" s="39">
        <v>6623</v>
      </c>
      <c r="B1606" s="38" t="s">
        <v>1014</v>
      </c>
      <c r="C1606" s="39" t="s">
        <v>839</v>
      </c>
      <c r="D1606" s="74" t="s">
        <v>1227</v>
      </c>
      <c r="E1606" s="74" t="s">
        <v>1224</v>
      </c>
      <c r="F1606" s="74" t="s">
        <v>1226</v>
      </c>
      <c r="G1606" s="74" t="s">
        <v>1225</v>
      </c>
    </row>
    <row r="1607" spans="1:7" x14ac:dyDescent="0.2">
      <c r="A1607" s="39">
        <v>6631</v>
      </c>
      <c r="B1607" s="38" t="s">
        <v>1015</v>
      </c>
      <c r="C1607" s="39" t="s">
        <v>839</v>
      </c>
      <c r="D1607" s="74" t="s">
        <v>1227</v>
      </c>
      <c r="E1607" s="74" t="s">
        <v>1224</v>
      </c>
      <c r="F1607" s="74" t="s">
        <v>1226</v>
      </c>
      <c r="G1607" s="74" t="s">
        <v>1226</v>
      </c>
    </row>
    <row r="1608" spans="1:7" x14ac:dyDescent="0.2">
      <c r="A1608" s="39">
        <v>6632</v>
      </c>
      <c r="B1608" s="38" t="s">
        <v>1016</v>
      </c>
      <c r="C1608" s="39" t="s">
        <v>839</v>
      </c>
      <c r="D1608" s="74" t="s">
        <v>1227</v>
      </c>
      <c r="E1608" s="74" t="s">
        <v>1224</v>
      </c>
      <c r="F1608" s="74" t="s">
        <v>1226</v>
      </c>
      <c r="G1608" s="74" t="s">
        <v>1226</v>
      </c>
    </row>
    <row r="1609" spans="1:7" x14ac:dyDescent="0.2">
      <c r="A1609" s="39">
        <v>6633</v>
      </c>
      <c r="B1609" s="38" t="s">
        <v>1017</v>
      </c>
      <c r="C1609" s="39" t="s">
        <v>839</v>
      </c>
      <c r="D1609" s="74" t="s">
        <v>1227</v>
      </c>
      <c r="E1609" s="74" t="s">
        <v>1224</v>
      </c>
      <c r="F1609" s="74" t="s">
        <v>1226</v>
      </c>
      <c r="G1609" s="74" t="s">
        <v>1225</v>
      </c>
    </row>
    <row r="1610" spans="1:7" x14ac:dyDescent="0.2">
      <c r="A1610" s="39">
        <v>6642</v>
      </c>
      <c r="B1610" s="38" t="s">
        <v>1018</v>
      </c>
      <c r="C1610" s="39" t="s">
        <v>839</v>
      </c>
      <c r="D1610" s="74" t="s">
        <v>1227</v>
      </c>
      <c r="E1610" s="74" t="s">
        <v>1224</v>
      </c>
      <c r="F1610" s="74" t="s">
        <v>1226</v>
      </c>
      <c r="G1610" s="74" t="s">
        <v>1225</v>
      </c>
    </row>
    <row r="1611" spans="1:7" x14ac:dyDescent="0.2">
      <c r="A1611" s="39">
        <v>6644</v>
      </c>
      <c r="B1611" s="38" t="s">
        <v>1019</v>
      </c>
      <c r="C1611" s="39" t="s">
        <v>839</v>
      </c>
      <c r="D1611" s="74" t="s">
        <v>1227</v>
      </c>
      <c r="E1611" s="74" t="s">
        <v>1224</v>
      </c>
      <c r="F1611" s="74" t="s">
        <v>1226</v>
      </c>
      <c r="G1611" s="74" t="s">
        <v>1225</v>
      </c>
    </row>
    <row r="1612" spans="1:7" x14ac:dyDescent="0.2">
      <c r="A1612" s="39">
        <v>6645</v>
      </c>
      <c r="B1612" s="38" t="s">
        <v>1020</v>
      </c>
      <c r="C1612" s="39" t="s">
        <v>839</v>
      </c>
      <c r="D1612" s="74" t="s">
        <v>1227</v>
      </c>
      <c r="E1612" s="74" t="s">
        <v>1224</v>
      </c>
      <c r="F1612" s="74" t="s">
        <v>1226</v>
      </c>
      <c r="G1612" s="74" t="s">
        <v>1225</v>
      </c>
    </row>
    <row r="1613" spans="1:7" x14ac:dyDescent="0.2">
      <c r="A1613" s="39">
        <v>6646</v>
      </c>
      <c r="B1613" s="38" t="s">
        <v>1021</v>
      </c>
      <c r="C1613" s="39" t="s">
        <v>839</v>
      </c>
      <c r="D1613" s="74" t="s">
        <v>1227</v>
      </c>
      <c r="E1613" s="74" t="s">
        <v>1224</v>
      </c>
      <c r="F1613" s="74" t="s">
        <v>1226</v>
      </c>
      <c r="G1613" s="74" t="s">
        <v>1225</v>
      </c>
    </row>
    <row r="1614" spans="1:7" x14ac:dyDescent="0.2">
      <c r="A1614" s="39">
        <v>6647</v>
      </c>
      <c r="B1614" s="38" t="s">
        <v>1022</v>
      </c>
      <c r="C1614" s="39" t="s">
        <v>839</v>
      </c>
      <c r="D1614" s="74" t="s">
        <v>1227</v>
      </c>
      <c r="E1614" s="74" t="s">
        <v>1224</v>
      </c>
      <c r="F1614" s="74" t="s">
        <v>1226</v>
      </c>
      <c r="G1614" s="74" t="s">
        <v>1225</v>
      </c>
    </row>
    <row r="1615" spans="1:7" x14ac:dyDescent="0.2">
      <c r="A1615" s="39">
        <v>6650</v>
      </c>
      <c r="B1615" s="38" t="s">
        <v>1023</v>
      </c>
      <c r="C1615" s="39" t="s">
        <v>839</v>
      </c>
      <c r="D1615" s="74" t="s">
        <v>1227</v>
      </c>
      <c r="E1615" s="74" t="s">
        <v>1224</v>
      </c>
      <c r="F1615" s="74" t="s">
        <v>1226</v>
      </c>
      <c r="G1615" s="74" t="s">
        <v>1225</v>
      </c>
    </row>
    <row r="1616" spans="1:7" x14ac:dyDescent="0.2">
      <c r="A1616" s="39">
        <v>6651</v>
      </c>
      <c r="B1616" s="38" t="s">
        <v>1024</v>
      </c>
      <c r="C1616" s="39" t="s">
        <v>839</v>
      </c>
      <c r="D1616" s="74" t="s">
        <v>1227</v>
      </c>
      <c r="E1616" s="74" t="s">
        <v>1224</v>
      </c>
      <c r="F1616" s="74" t="s">
        <v>1226</v>
      </c>
      <c r="G1616" s="74" t="s">
        <v>1225</v>
      </c>
    </row>
    <row r="1617" spans="1:7" x14ac:dyDescent="0.2">
      <c r="A1617" s="39">
        <v>6652</v>
      </c>
      <c r="B1617" s="38" t="s">
        <v>1025</v>
      </c>
      <c r="C1617" s="39" t="s">
        <v>839</v>
      </c>
      <c r="D1617" s="74" t="s">
        <v>1227</v>
      </c>
      <c r="E1617" s="74" t="s">
        <v>1224</v>
      </c>
      <c r="F1617" s="74" t="s">
        <v>1226</v>
      </c>
      <c r="G1617" s="74" t="s">
        <v>1226</v>
      </c>
    </row>
    <row r="1618" spans="1:7" x14ac:dyDescent="0.2">
      <c r="A1618" s="39">
        <v>6653</v>
      </c>
      <c r="B1618" s="38" t="s">
        <v>1026</v>
      </c>
      <c r="C1618" s="39" t="s">
        <v>839</v>
      </c>
      <c r="D1618" s="74" t="s">
        <v>1227</v>
      </c>
      <c r="E1618" s="74" t="s">
        <v>1224</v>
      </c>
      <c r="F1618" s="74" t="s">
        <v>1226</v>
      </c>
      <c r="G1618" s="74" t="s">
        <v>1225</v>
      </c>
    </row>
    <row r="1619" spans="1:7" x14ac:dyDescent="0.2">
      <c r="A1619" s="39">
        <v>6654</v>
      </c>
      <c r="B1619" s="38" t="s">
        <v>1027</v>
      </c>
      <c r="C1619" s="39" t="s">
        <v>839</v>
      </c>
      <c r="D1619" s="74" t="s">
        <v>1227</v>
      </c>
      <c r="E1619" s="74" t="s">
        <v>1224</v>
      </c>
      <c r="F1619" s="74" t="s">
        <v>1226</v>
      </c>
      <c r="G1619" s="74" t="s">
        <v>1225</v>
      </c>
    </row>
    <row r="1620" spans="1:7" x14ac:dyDescent="0.2">
      <c r="A1620" s="39">
        <v>6655</v>
      </c>
      <c r="B1620" s="38" t="s">
        <v>379</v>
      </c>
      <c r="C1620" s="39" t="s">
        <v>839</v>
      </c>
      <c r="D1620" s="74" t="s">
        <v>1227</v>
      </c>
      <c r="E1620" s="74" t="s">
        <v>1224</v>
      </c>
      <c r="F1620" s="74" t="s">
        <v>1226</v>
      </c>
      <c r="G1620" s="74" t="s">
        <v>1225</v>
      </c>
    </row>
    <row r="1621" spans="1:7" x14ac:dyDescent="0.2">
      <c r="A1621" s="39">
        <v>6670</v>
      </c>
      <c r="B1621" s="38" t="s">
        <v>1028</v>
      </c>
      <c r="C1621" s="39" t="s">
        <v>839</v>
      </c>
      <c r="D1621" s="74" t="s">
        <v>1227</v>
      </c>
      <c r="E1621" s="74" t="s">
        <v>1224</v>
      </c>
      <c r="F1621" s="74" t="s">
        <v>1226</v>
      </c>
      <c r="G1621" s="74" t="s">
        <v>1225</v>
      </c>
    </row>
    <row r="1622" spans="1:7" x14ac:dyDescent="0.2">
      <c r="A1622" s="39">
        <v>6671</v>
      </c>
      <c r="B1622" s="38" t="s">
        <v>1029</v>
      </c>
      <c r="C1622" s="39" t="s">
        <v>839</v>
      </c>
      <c r="D1622" s="74" t="s">
        <v>1227</v>
      </c>
      <c r="E1622" s="74" t="s">
        <v>1224</v>
      </c>
      <c r="F1622" s="74" t="s">
        <v>1226</v>
      </c>
      <c r="G1622" s="74" t="s">
        <v>1226</v>
      </c>
    </row>
    <row r="1623" spans="1:7" x14ac:dyDescent="0.2">
      <c r="A1623" s="39">
        <v>6672</v>
      </c>
      <c r="B1623" s="38" t="s">
        <v>1030</v>
      </c>
      <c r="C1623" s="39" t="s">
        <v>839</v>
      </c>
      <c r="D1623" s="74" t="s">
        <v>1227</v>
      </c>
      <c r="E1623" s="74" t="s">
        <v>1224</v>
      </c>
      <c r="F1623" s="74" t="s">
        <v>1226</v>
      </c>
      <c r="G1623" s="74" t="s">
        <v>1225</v>
      </c>
    </row>
    <row r="1624" spans="1:7" x14ac:dyDescent="0.2">
      <c r="A1624" s="39">
        <v>6673</v>
      </c>
      <c r="B1624" s="38" t="s">
        <v>1031</v>
      </c>
      <c r="C1624" s="39" t="s">
        <v>839</v>
      </c>
      <c r="D1624" s="74" t="s">
        <v>1227</v>
      </c>
      <c r="E1624" s="74" t="s">
        <v>1224</v>
      </c>
      <c r="F1624" s="74" t="s">
        <v>1226</v>
      </c>
      <c r="G1624" s="74" t="s">
        <v>1225</v>
      </c>
    </row>
    <row r="1625" spans="1:7" x14ac:dyDescent="0.2">
      <c r="A1625" s="39">
        <v>6675</v>
      </c>
      <c r="B1625" s="38" t="s">
        <v>1032</v>
      </c>
      <c r="C1625" s="39" t="s">
        <v>839</v>
      </c>
      <c r="D1625" s="74" t="s">
        <v>1227</v>
      </c>
      <c r="E1625" s="74" t="s">
        <v>1224</v>
      </c>
      <c r="F1625" s="74" t="s">
        <v>1226</v>
      </c>
      <c r="G1625" s="74" t="s">
        <v>1226</v>
      </c>
    </row>
    <row r="1626" spans="1:7" x14ac:dyDescent="0.2">
      <c r="A1626" s="39">
        <v>6677</v>
      </c>
      <c r="B1626" s="38" t="s">
        <v>1033</v>
      </c>
      <c r="C1626" s="39" t="s">
        <v>839</v>
      </c>
      <c r="D1626" s="74" t="s">
        <v>1227</v>
      </c>
      <c r="E1626" s="74" t="s">
        <v>1224</v>
      </c>
      <c r="F1626" s="74" t="s">
        <v>1226</v>
      </c>
      <c r="G1626" s="74" t="s">
        <v>1225</v>
      </c>
    </row>
    <row r="1627" spans="1:7" x14ac:dyDescent="0.2">
      <c r="A1627" s="39">
        <v>6682</v>
      </c>
      <c r="B1627" s="38" t="s">
        <v>1034</v>
      </c>
      <c r="C1627" s="39" t="s">
        <v>839</v>
      </c>
      <c r="D1627" s="74" t="s">
        <v>1227</v>
      </c>
      <c r="E1627" s="74" t="s">
        <v>1224</v>
      </c>
      <c r="F1627" s="74" t="s">
        <v>1226</v>
      </c>
      <c r="G1627" s="74" t="s">
        <v>1226</v>
      </c>
    </row>
    <row r="1628" spans="1:7" x14ac:dyDescent="0.2">
      <c r="A1628" s="39">
        <v>6691</v>
      </c>
      <c r="B1628" s="38" t="s">
        <v>1035</v>
      </c>
      <c r="C1628" s="39" t="s">
        <v>839</v>
      </c>
      <c r="D1628" s="74" t="s">
        <v>1227</v>
      </c>
      <c r="E1628" s="74" t="s">
        <v>1224</v>
      </c>
      <c r="F1628" s="74" t="s">
        <v>1226</v>
      </c>
      <c r="G1628" s="74" t="s">
        <v>1226</v>
      </c>
    </row>
    <row r="1629" spans="1:7" x14ac:dyDescent="0.2">
      <c r="A1629" s="39">
        <v>6700</v>
      </c>
      <c r="B1629" s="38" t="s">
        <v>124</v>
      </c>
      <c r="C1629" s="39" t="s">
        <v>1036</v>
      </c>
      <c r="D1629" s="74" t="s">
        <v>1227</v>
      </c>
      <c r="E1629" s="74" t="s">
        <v>1224</v>
      </c>
      <c r="F1629" s="74" t="s">
        <v>1226</v>
      </c>
      <c r="G1629" s="74" t="s">
        <v>1226</v>
      </c>
    </row>
    <row r="1630" spans="1:7" x14ac:dyDescent="0.2">
      <c r="A1630" s="39">
        <v>6701</v>
      </c>
      <c r="B1630" s="38" t="s">
        <v>1037</v>
      </c>
      <c r="C1630" s="39" t="s">
        <v>1036</v>
      </c>
      <c r="D1630" s="74" t="s">
        <v>1229</v>
      </c>
      <c r="E1630" s="74" t="s">
        <v>1224</v>
      </c>
      <c r="F1630" s="74" t="s">
        <v>1225</v>
      </c>
      <c r="G1630" s="74" t="s">
        <v>1226</v>
      </c>
    </row>
    <row r="1631" spans="1:7" x14ac:dyDescent="0.2">
      <c r="A1631" s="39">
        <v>6706</v>
      </c>
      <c r="B1631" s="38" t="s">
        <v>1038</v>
      </c>
      <c r="C1631" s="39" t="s">
        <v>1036</v>
      </c>
      <c r="D1631" s="74" t="s">
        <v>1227</v>
      </c>
      <c r="E1631" s="74" t="s">
        <v>1224</v>
      </c>
      <c r="F1631" s="74" t="s">
        <v>1226</v>
      </c>
      <c r="G1631" s="74" t="s">
        <v>1226</v>
      </c>
    </row>
    <row r="1632" spans="1:7" x14ac:dyDescent="0.2">
      <c r="A1632" s="39">
        <v>6707</v>
      </c>
      <c r="B1632" s="38" t="s">
        <v>1039</v>
      </c>
      <c r="C1632" s="39" t="s">
        <v>1036</v>
      </c>
      <c r="D1632" s="74" t="s">
        <v>1227</v>
      </c>
      <c r="E1632" s="74" t="s">
        <v>1224</v>
      </c>
      <c r="F1632" s="74" t="s">
        <v>1226</v>
      </c>
      <c r="G1632" s="74" t="s">
        <v>1225</v>
      </c>
    </row>
    <row r="1633" spans="1:7" x14ac:dyDescent="0.2">
      <c r="A1633" s="39">
        <v>6708</v>
      </c>
      <c r="B1633" s="38" t="s">
        <v>602</v>
      </c>
      <c r="C1633" s="39" t="s">
        <v>1036</v>
      </c>
      <c r="D1633" s="74" t="s">
        <v>1227</v>
      </c>
      <c r="E1633" s="74" t="s">
        <v>1224</v>
      </c>
      <c r="F1633" s="74" t="s">
        <v>1226</v>
      </c>
      <c r="G1633" s="74" t="s">
        <v>1225</v>
      </c>
    </row>
    <row r="1634" spans="1:7" x14ac:dyDescent="0.2">
      <c r="A1634" s="39">
        <v>6710</v>
      </c>
      <c r="B1634" s="38" t="s">
        <v>1040</v>
      </c>
      <c r="C1634" s="39" t="s">
        <v>1036</v>
      </c>
      <c r="D1634" s="74" t="s">
        <v>1227</v>
      </c>
      <c r="E1634" s="74" t="s">
        <v>1224</v>
      </c>
      <c r="F1634" s="74" t="s">
        <v>1226</v>
      </c>
      <c r="G1634" s="74" t="s">
        <v>1226</v>
      </c>
    </row>
    <row r="1635" spans="1:7" x14ac:dyDescent="0.2">
      <c r="A1635" s="39">
        <v>6712</v>
      </c>
      <c r="B1635" s="38" t="s">
        <v>1041</v>
      </c>
      <c r="C1635" s="39" t="s">
        <v>1036</v>
      </c>
      <c r="D1635" s="74" t="s">
        <v>1227</v>
      </c>
      <c r="E1635" s="74" t="s">
        <v>1224</v>
      </c>
      <c r="F1635" s="74" t="s">
        <v>1226</v>
      </c>
      <c r="G1635" s="74" t="s">
        <v>1226</v>
      </c>
    </row>
    <row r="1636" spans="1:7" x14ac:dyDescent="0.2">
      <c r="A1636" s="39">
        <v>6713</v>
      </c>
      <c r="B1636" s="38" t="s">
        <v>1042</v>
      </c>
      <c r="C1636" s="39" t="s">
        <v>1036</v>
      </c>
      <c r="D1636" s="74" t="s">
        <v>1227</v>
      </c>
      <c r="E1636" s="74" t="s">
        <v>1224</v>
      </c>
      <c r="F1636" s="74" t="s">
        <v>1226</v>
      </c>
      <c r="G1636" s="74" t="s">
        <v>1226</v>
      </c>
    </row>
    <row r="1637" spans="1:7" x14ac:dyDescent="0.2">
      <c r="A1637" s="39">
        <v>6714</v>
      </c>
      <c r="B1637" s="38" t="s">
        <v>1043</v>
      </c>
      <c r="C1637" s="39" t="s">
        <v>1036</v>
      </c>
      <c r="D1637" s="74" t="s">
        <v>1227</v>
      </c>
      <c r="E1637" s="74" t="s">
        <v>1224</v>
      </c>
      <c r="F1637" s="74" t="s">
        <v>1226</v>
      </c>
      <c r="G1637" s="74" t="s">
        <v>1226</v>
      </c>
    </row>
    <row r="1638" spans="1:7" x14ac:dyDescent="0.2">
      <c r="A1638" s="39">
        <v>6719</v>
      </c>
      <c r="B1638" s="38" t="s">
        <v>1044</v>
      </c>
      <c r="C1638" s="39" t="s">
        <v>1036</v>
      </c>
      <c r="D1638" s="74" t="s">
        <v>1227</v>
      </c>
      <c r="E1638" s="74" t="s">
        <v>1224</v>
      </c>
      <c r="F1638" s="74" t="s">
        <v>1226</v>
      </c>
      <c r="G1638" s="74" t="s">
        <v>1225</v>
      </c>
    </row>
    <row r="1639" spans="1:7" x14ac:dyDescent="0.2">
      <c r="A1639" s="39">
        <v>6721</v>
      </c>
      <c r="B1639" s="38" t="s">
        <v>1045</v>
      </c>
      <c r="C1639" s="39" t="s">
        <v>1036</v>
      </c>
      <c r="D1639" s="74" t="s">
        <v>1227</v>
      </c>
      <c r="E1639" s="74" t="s">
        <v>1224</v>
      </c>
      <c r="F1639" s="74" t="s">
        <v>1226</v>
      </c>
      <c r="G1639" s="74" t="s">
        <v>1225</v>
      </c>
    </row>
    <row r="1640" spans="1:7" x14ac:dyDescent="0.2">
      <c r="A1640" s="39">
        <v>6722</v>
      </c>
      <c r="B1640" s="38" t="s">
        <v>1046</v>
      </c>
      <c r="C1640" s="39" t="s">
        <v>1036</v>
      </c>
      <c r="D1640" s="74" t="s">
        <v>1227</v>
      </c>
      <c r="E1640" s="74" t="s">
        <v>1224</v>
      </c>
      <c r="F1640" s="74" t="s">
        <v>1226</v>
      </c>
      <c r="G1640" s="74" t="s">
        <v>1225</v>
      </c>
    </row>
    <row r="1641" spans="1:7" x14ac:dyDescent="0.2">
      <c r="A1641" s="39">
        <v>6723</v>
      </c>
      <c r="B1641" s="38" t="s">
        <v>1047</v>
      </c>
      <c r="C1641" s="39" t="s">
        <v>1036</v>
      </c>
      <c r="D1641" s="74" t="s">
        <v>1227</v>
      </c>
      <c r="E1641" s="74" t="s">
        <v>1224</v>
      </c>
      <c r="F1641" s="74" t="s">
        <v>1226</v>
      </c>
      <c r="G1641" s="74" t="s">
        <v>1225</v>
      </c>
    </row>
    <row r="1642" spans="1:7" x14ac:dyDescent="0.2">
      <c r="A1642" s="39">
        <v>6731</v>
      </c>
      <c r="B1642" s="38" t="s">
        <v>1048</v>
      </c>
      <c r="C1642" s="39" t="s">
        <v>1036</v>
      </c>
      <c r="D1642" s="74" t="s">
        <v>1227</v>
      </c>
      <c r="E1642" s="74" t="s">
        <v>1224</v>
      </c>
      <c r="F1642" s="74" t="s">
        <v>1226</v>
      </c>
      <c r="G1642" s="74" t="s">
        <v>1226</v>
      </c>
    </row>
    <row r="1643" spans="1:7" x14ac:dyDescent="0.2">
      <c r="A1643" s="39">
        <v>6733</v>
      </c>
      <c r="B1643" s="38" t="s">
        <v>1049</v>
      </c>
      <c r="C1643" s="39" t="s">
        <v>1036</v>
      </c>
      <c r="D1643" s="74" t="s">
        <v>1227</v>
      </c>
      <c r="E1643" s="74" t="s">
        <v>1224</v>
      </c>
      <c r="F1643" s="74" t="s">
        <v>1226</v>
      </c>
      <c r="G1643" s="74" t="s">
        <v>1225</v>
      </c>
    </row>
    <row r="1644" spans="1:7" x14ac:dyDescent="0.2">
      <c r="A1644" s="39">
        <v>6741</v>
      </c>
      <c r="B1644" s="38" t="s">
        <v>1050</v>
      </c>
      <c r="C1644" s="39" t="s">
        <v>1036</v>
      </c>
      <c r="D1644" s="74" t="s">
        <v>1227</v>
      </c>
      <c r="E1644" s="74" t="s">
        <v>1224</v>
      </c>
      <c r="F1644" s="74" t="s">
        <v>1226</v>
      </c>
      <c r="G1644" s="74" t="s">
        <v>1225</v>
      </c>
    </row>
    <row r="1645" spans="1:7" x14ac:dyDescent="0.2">
      <c r="A1645" s="39">
        <v>6751</v>
      </c>
      <c r="B1645" s="38" t="s">
        <v>1051</v>
      </c>
      <c r="C1645" s="39" t="s">
        <v>1036</v>
      </c>
      <c r="D1645" s="74" t="s">
        <v>1227</v>
      </c>
      <c r="E1645" s="74" t="s">
        <v>1224</v>
      </c>
      <c r="F1645" s="74" t="s">
        <v>1226</v>
      </c>
      <c r="G1645" s="74" t="s">
        <v>1225</v>
      </c>
    </row>
    <row r="1646" spans="1:7" x14ac:dyDescent="0.2">
      <c r="A1646" s="39">
        <v>6752</v>
      </c>
      <c r="B1646" s="38" t="s">
        <v>2310</v>
      </c>
      <c r="C1646" s="39" t="s">
        <v>1036</v>
      </c>
      <c r="D1646" s="74" t="s">
        <v>1227</v>
      </c>
      <c r="E1646" s="74" t="s">
        <v>1224</v>
      </c>
      <c r="F1646" s="74" t="s">
        <v>1226</v>
      </c>
      <c r="G1646" s="74" t="s">
        <v>1226</v>
      </c>
    </row>
    <row r="1647" spans="1:7" x14ac:dyDescent="0.2">
      <c r="A1647" s="39">
        <v>6754</v>
      </c>
      <c r="B1647" s="38" t="s">
        <v>2311</v>
      </c>
      <c r="C1647" s="39" t="s">
        <v>1036</v>
      </c>
      <c r="D1647" s="74" t="s">
        <v>1227</v>
      </c>
      <c r="E1647" s="74" t="s">
        <v>1224</v>
      </c>
      <c r="F1647" s="74" t="s">
        <v>1226</v>
      </c>
      <c r="G1647" s="74" t="s">
        <v>1225</v>
      </c>
    </row>
    <row r="1648" spans="1:7" x14ac:dyDescent="0.2">
      <c r="A1648" s="39">
        <v>6762</v>
      </c>
      <c r="B1648" s="38" t="s">
        <v>2312</v>
      </c>
      <c r="C1648" s="39" t="s">
        <v>1036</v>
      </c>
      <c r="D1648" s="74" t="s">
        <v>1227</v>
      </c>
      <c r="E1648" s="74" t="s">
        <v>1224</v>
      </c>
      <c r="F1648" s="74" t="s">
        <v>1226</v>
      </c>
      <c r="G1648" s="74" t="s">
        <v>1225</v>
      </c>
    </row>
    <row r="1649" spans="1:7" x14ac:dyDescent="0.2">
      <c r="A1649" s="39">
        <v>6763</v>
      </c>
      <c r="B1649" s="38" t="s">
        <v>2313</v>
      </c>
      <c r="C1649" s="39" t="s">
        <v>1036</v>
      </c>
      <c r="D1649" s="74" t="s">
        <v>1227</v>
      </c>
      <c r="E1649" s="74" t="s">
        <v>1224</v>
      </c>
      <c r="F1649" s="74" t="s">
        <v>1226</v>
      </c>
      <c r="G1649" s="74" t="s">
        <v>1225</v>
      </c>
    </row>
    <row r="1650" spans="1:7" x14ac:dyDescent="0.2">
      <c r="A1650" s="39">
        <v>6764</v>
      </c>
      <c r="B1650" s="38" t="s">
        <v>2314</v>
      </c>
      <c r="C1650" s="39" t="s">
        <v>1036</v>
      </c>
      <c r="D1650" s="74" t="s">
        <v>1227</v>
      </c>
      <c r="E1650" s="74" t="s">
        <v>1224</v>
      </c>
      <c r="F1650" s="74" t="s">
        <v>1226</v>
      </c>
      <c r="G1650" s="74" t="s">
        <v>1226</v>
      </c>
    </row>
    <row r="1651" spans="1:7" x14ac:dyDescent="0.2">
      <c r="A1651" s="39">
        <v>6767</v>
      </c>
      <c r="B1651" s="38" t="s">
        <v>1864</v>
      </c>
      <c r="C1651" s="39" t="s">
        <v>1036</v>
      </c>
      <c r="D1651" s="74" t="s">
        <v>1227</v>
      </c>
      <c r="E1651" s="74" t="s">
        <v>1224</v>
      </c>
      <c r="F1651" s="74" t="s">
        <v>1226</v>
      </c>
      <c r="G1651" s="74" t="s">
        <v>1225</v>
      </c>
    </row>
    <row r="1652" spans="1:7" x14ac:dyDescent="0.2">
      <c r="A1652" s="39">
        <v>6771</v>
      </c>
      <c r="B1652" s="38" t="s">
        <v>2315</v>
      </c>
      <c r="C1652" s="39" t="s">
        <v>1036</v>
      </c>
      <c r="D1652" s="74" t="s">
        <v>1227</v>
      </c>
      <c r="E1652" s="74" t="s">
        <v>1224</v>
      </c>
      <c r="F1652" s="74" t="s">
        <v>1226</v>
      </c>
      <c r="G1652" s="74" t="s">
        <v>1225</v>
      </c>
    </row>
    <row r="1653" spans="1:7" x14ac:dyDescent="0.2">
      <c r="A1653" s="39">
        <v>6773</v>
      </c>
      <c r="B1653" s="38" t="s">
        <v>2316</v>
      </c>
      <c r="C1653" s="39" t="s">
        <v>1036</v>
      </c>
      <c r="D1653" s="74" t="s">
        <v>1227</v>
      </c>
      <c r="E1653" s="74" t="s">
        <v>1224</v>
      </c>
      <c r="F1653" s="74" t="s">
        <v>1226</v>
      </c>
      <c r="G1653" s="74" t="s">
        <v>1226</v>
      </c>
    </row>
    <row r="1654" spans="1:7" x14ac:dyDescent="0.2">
      <c r="A1654" s="39">
        <v>6774</v>
      </c>
      <c r="B1654" s="38" t="s">
        <v>2317</v>
      </c>
      <c r="C1654" s="39" t="s">
        <v>1036</v>
      </c>
      <c r="D1654" s="74" t="s">
        <v>1227</v>
      </c>
      <c r="E1654" s="74" t="s">
        <v>1224</v>
      </c>
      <c r="F1654" s="74" t="s">
        <v>1226</v>
      </c>
      <c r="G1654" s="74" t="s">
        <v>1226</v>
      </c>
    </row>
    <row r="1655" spans="1:7" x14ac:dyDescent="0.2">
      <c r="A1655" s="39">
        <v>6780</v>
      </c>
      <c r="B1655" s="38" t="s">
        <v>2318</v>
      </c>
      <c r="C1655" s="39" t="s">
        <v>1036</v>
      </c>
      <c r="D1655" s="74" t="s">
        <v>1227</v>
      </c>
      <c r="E1655" s="74" t="s">
        <v>1224</v>
      </c>
      <c r="F1655" s="74" t="s">
        <v>1226</v>
      </c>
      <c r="G1655" s="74" t="s">
        <v>1226</v>
      </c>
    </row>
    <row r="1656" spans="1:7" x14ac:dyDescent="0.2">
      <c r="A1656" s="39">
        <v>6787</v>
      </c>
      <c r="B1656" s="38" t="s">
        <v>153</v>
      </c>
      <c r="C1656" s="39" t="s">
        <v>1036</v>
      </c>
      <c r="D1656" s="74" t="s">
        <v>1227</v>
      </c>
      <c r="E1656" s="74" t="s">
        <v>1224</v>
      </c>
      <c r="F1656" s="74" t="s">
        <v>1226</v>
      </c>
      <c r="G1656" s="74" t="s">
        <v>1225</v>
      </c>
    </row>
    <row r="1657" spans="1:7" x14ac:dyDescent="0.2">
      <c r="A1657" s="39">
        <v>6791</v>
      </c>
      <c r="B1657" s="38" t="s">
        <v>2319</v>
      </c>
      <c r="C1657" s="39" t="s">
        <v>1036</v>
      </c>
      <c r="D1657" s="74" t="s">
        <v>1227</v>
      </c>
      <c r="E1657" s="74" t="s">
        <v>1224</v>
      </c>
      <c r="F1657" s="74" t="s">
        <v>1226</v>
      </c>
      <c r="G1657" s="74" t="s">
        <v>1226</v>
      </c>
    </row>
    <row r="1658" spans="1:7" x14ac:dyDescent="0.2">
      <c r="A1658" s="39">
        <v>6793</v>
      </c>
      <c r="B1658" s="38" t="s">
        <v>2320</v>
      </c>
      <c r="C1658" s="39" t="s">
        <v>1036</v>
      </c>
      <c r="D1658" s="74" t="s">
        <v>1227</v>
      </c>
      <c r="E1658" s="74" t="s">
        <v>1224</v>
      </c>
      <c r="F1658" s="74" t="s">
        <v>1226</v>
      </c>
      <c r="G1658" s="74" t="s">
        <v>1226</v>
      </c>
    </row>
    <row r="1659" spans="1:7" x14ac:dyDescent="0.2">
      <c r="A1659" s="39">
        <v>6794</v>
      </c>
      <c r="B1659" s="38" t="s">
        <v>2321</v>
      </c>
      <c r="C1659" s="39" t="s">
        <v>1036</v>
      </c>
      <c r="D1659" s="74" t="s">
        <v>1227</v>
      </c>
      <c r="E1659" s="74" t="s">
        <v>1224</v>
      </c>
      <c r="F1659" s="74" t="s">
        <v>1226</v>
      </c>
      <c r="G1659" s="74" t="s">
        <v>1225</v>
      </c>
    </row>
    <row r="1660" spans="1:7" x14ac:dyDescent="0.2">
      <c r="A1660" s="39">
        <v>6800</v>
      </c>
      <c r="B1660" s="38" t="s">
        <v>140</v>
      </c>
      <c r="C1660" s="39" t="s">
        <v>1036</v>
      </c>
      <c r="D1660" s="74" t="s">
        <v>1227</v>
      </c>
      <c r="E1660" s="74" t="s">
        <v>1224</v>
      </c>
      <c r="F1660" s="74" t="s">
        <v>1226</v>
      </c>
      <c r="G1660" s="74" t="s">
        <v>1226</v>
      </c>
    </row>
    <row r="1661" spans="1:7" x14ac:dyDescent="0.2">
      <c r="A1661" s="39">
        <v>6801</v>
      </c>
      <c r="B1661" s="38" t="s">
        <v>2322</v>
      </c>
      <c r="C1661" s="39" t="s">
        <v>1036</v>
      </c>
      <c r="D1661" s="74" t="s">
        <v>1229</v>
      </c>
      <c r="E1661" s="74" t="s">
        <v>1224</v>
      </c>
      <c r="F1661" s="74" t="s">
        <v>1225</v>
      </c>
      <c r="G1661" s="74" t="s">
        <v>1226</v>
      </c>
    </row>
    <row r="1662" spans="1:7" x14ac:dyDescent="0.2">
      <c r="A1662" s="39">
        <v>6803</v>
      </c>
      <c r="B1662" s="38" t="s">
        <v>140</v>
      </c>
      <c r="C1662" s="39" t="s">
        <v>1036</v>
      </c>
      <c r="D1662" s="74" t="s">
        <v>1229</v>
      </c>
      <c r="E1662" s="74" t="s">
        <v>1224</v>
      </c>
      <c r="F1662" s="74" t="s">
        <v>1225</v>
      </c>
      <c r="G1662" s="74" t="s">
        <v>1226</v>
      </c>
    </row>
    <row r="1663" spans="1:7" x14ac:dyDescent="0.2">
      <c r="A1663" s="39">
        <v>6804</v>
      </c>
      <c r="B1663" s="38" t="s">
        <v>2323</v>
      </c>
      <c r="C1663" s="39" t="s">
        <v>1036</v>
      </c>
      <c r="D1663" s="74" t="s">
        <v>1229</v>
      </c>
      <c r="E1663" s="74" t="s">
        <v>1224</v>
      </c>
      <c r="F1663" s="74" t="s">
        <v>1225</v>
      </c>
      <c r="G1663" s="74" t="s">
        <v>1226</v>
      </c>
    </row>
    <row r="1664" spans="1:7" x14ac:dyDescent="0.2">
      <c r="A1664" s="39">
        <v>6805</v>
      </c>
      <c r="B1664" s="38" t="s">
        <v>2324</v>
      </c>
      <c r="C1664" s="39" t="s">
        <v>1036</v>
      </c>
      <c r="D1664" s="74" t="s">
        <v>1229</v>
      </c>
      <c r="E1664" s="74" t="s">
        <v>1224</v>
      </c>
      <c r="F1664" s="74" t="s">
        <v>1225</v>
      </c>
      <c r="G1664" s="74" t="s">
        <v>1226</v>
      </c>
    </row>
    <row r="1665" spans="1:7" x14ac:dyDescent="0.2">
      <c r="A1665" s="39">
        <v>6806</v>
      </c>
      <c r="B1665" s="38" t="s">
        <v>2325</v>
      </c>
      <c r="C1665" s="39" t="s">
        <v>1036</v>
      </c>
      <c r="D1665" s="74" t="s">
        <v>1229</v>
      </c>
      <c r="E1665" s="74" t="s">
        <v>1224</v>
      </c>
      <c r="F1665" s="74" t="s">
        <v>1225</v>
      </c>
      <c r="G1665" s="74" t="s">
        <v>1226</v>
      </c>
    </row>
    <row r="1666" spans="1:7" x14ac:dyDescent="0.2">
      <c r="A1666" s="39">
        <v>6807</v>
      </c>
      <c r="B1666" s="38" t="s">
        <v>2327</v>
      </c>
      <c r="C1666" s="39" t="s">
        <v>1036</v>
      </c>
      <c r="D1666" s="74" t="s">
        <v>1229</v>
      </c>
      <c r="E1666" s="74" t="s">
        <v>1224</v>
      </c>
      <c r="F1666" s="74" t="s">
        <v>1225</v>
      </c>
      <c r="G1666" s="74" t="s">
        <v>1226</v>
      </c>
    </row>
    <row r="1667" spans="1:7" x14ac:dyDescent="0.2">
      <c r="A1667" s="39">
        <v>6811</v>
      </c>
      <c r="B1667" s="38" t="s">
        <v>2328</v>
      </c>
      <c r="C1667" s="39" t="s">
        <v>1036</v>
      </c>
      <c r="D1667" s="74" t="s">
        <v>1227</v>
      </c>
      <c r="E1667" s="74" t="s">
        <v>1224</v>
      </c>
      <c r="F1667" s="74" t="s">
        <v>1226</v>
      </c>
      <c r="G1667" s="74" t="s">
        <v>1225</v>
      </c>
    </row>
    <row r="1668" spans="1:7" x14ac:dyDescent="0.2">
      <c r="A1668" s="39">
        <v>6812</v>
      </c>
      <c r="B1668" s="38" t="s">
        <v>2329</v>
      </c>
      <c r="C1668" s="39" t="s">
        <v>1036</v>
      </c>
      <c r="D1668" s="74" t="s">
        <v>1227</v>
      </c>
      <c r="E1668" s="74" t="s">
        <v>1224</v>
      </c>
      <c r="F1668" s="74" t="s">
        <v>1226</v>
      </c>
      <c r="G1668" s="74" t="s">
        <v>1225</v>
      </c>
    </row>
    <row r="1669" spans="1:7" x14ac:dyDescent="0.2">
      <c r="A1669" s="39">
        <v>6820</v>
      </c>
      <c r="B1669" s="38" t="s">
        <v>2330</v>
      </c>
      <c r="C1669" s="39" t="s">
        <v>1036</v>
      </c>
      <c r="D1669" s="74" t="s">
        <v>1227</v>
      </c>
      <c r="E1669" s="74" t="s">
        <v>1224</v>
      </c>
      <c r="F1669" s="74" t="s">
        <v>1226</v>
      </c>
      <c r="G1669" s="74" t="s">
        <v>1226</v>
      </c>
    </row>
    <row r="1670" spans="1:7" x14ac:dyDescent="0.2">
      <c r="A1670" s="39">
        <v>6822</v>
      </c>
      <c r="B1670" s="38" t="s">
        <v>2331</v>
      </c>
      <c r="C1670" s="39" t="s">
        <v>1036</v>
      </c>
      <c r="D1670" s="74" t="s">
        <v>1227</v>
      </c>
      <c r="E1670" s="74" t="s">
        <v>1224</v>
      </c>
      <c r="F1670" s="74" t="s">
        <v>1226</v>
      </c>
      <c r="G1670" s="74" t="s">
        <v>1226</v>
      </c>
    </row>
    <row r="1671" spans="1:7" x14ac:dyDescent="0.2">
      <c r="A1671" s="39">
        <v>6824</v>
      </c>
      <c r="B1671" s="38" t="s">
        <v>2332</v>
      </c>
      <c r="C1671" s="39" t="s">
        <v>1036</v>
      </c>
      <c r="D1671" s="74" t="s">
        <v>1227</v>
      </c>
      <c r="E1671" s="74" t="s">
        <v>1224</v>
      </c>
      <c r="F1671" s="74" t="s">
        <v>1226</v>
      </c>
      <c r="G1671" s="74" t="s">
        <v>1225</v>
      </c>
    </row>
    <row r="1672" spans="1:7" x14ac:dyDescent="0.2">
      <c r="A1672" s="39">
        <v>6830</v>
      </c>
      <c r="B1672" s="38" t="s">
        <v>2333</v>
      </c>
      <c r="C1672" s="39" t="s">
        <v>1036</v>
      </c>
      <c r="D1672" s="74" t="s">
        <v>1227</v>
      </c>
      <c r="E1672" s="74" t="s">
        <v>1224</v>
      </c>
      <c r="F1672" s="74" t="s">
        <v>1226</v>
      </c>
      <c r="G1672" s="74" t="s">
        <v>1226</v>
      </c>
    </row>
    <row r="1673" spans="1:7" x14ac:dyDescent="0.2">
      <c r="A1673" s="39">
        <v>6832</v>
      </c>
      <c r="B1673" s="38" t="s">
        <v>2334</v>
      </c>
      <c r="C1673" s="39" t="s">
        <v>1036</v>
      </c>
      <c r="D1673" s="74" t="s">
        <v>1227</v>
      </c>
      <c r="E1673" s="74" t="s">
        <v>1224</v>
      </c>
      <c r="F1673" s="74" t="s">
        <v>1226</v>
      </c>
      <c r="G1673" s="74" t="s">
        <v>1226</v>
      </c>
    </row>
    <row r="1674" spans="1:7" x14ac:dyDescent="0.2">
      <c r="A1674" s="39">
        <v>6833</v>
      </c>
      <c r="B1674" s="38" t="s">
        <v>2335</v>
      </c>
      <c r="C1674" s="39" t="s">
        <v>1036</v>
      </c>
      <c r="D1674" s="74" t="s">
        <v>1227</v>
      </c>
      <c r="E1674" s="74" t="s">
        <v>1224</v>
      </c>
      <c r="F1674" s="74" t="s">
        <v>1226</v>
      </c>
      <c r="G1674" s="74" t="s">
        <v>1226</v>
      </c>
    </row>
    <row r="1675" spans="1:7" x14ac:dyDescent="0.2">
      <c r="A1675" s="39">
        <v>6834</v>
      </c>
      <c r="B1675" s="38" t="s">
        <v>2336</v>
      </c>
      <c r="C1675" s="39" t="s">
        <v>1036</v>
      </c>
      <c r="D1675" s="74" t="s">
        <v>1227</v>
      </c>
      <c r="E1675" s="74" t="s">
        <v>1224</v>
      </c>
      <c r="F1675" s="74" t="s">
        <v>1226</v>
      </c>
      <c r="G1675" s="74" t="s">
        <v>1225</v>
      </c>
    </row>
    <row r="1676" spans="1:7" x14ac:dyDescent="0.2">
      <c r="A1676" s="39">
        <v>6836</v>
      </c>
      <c r="B1676" s="38" t="s">
        <v>2337</v>
      </c>
      <c r="C1676" s="39" t="s">
        <v>1036</v>
      </c>
      <c r="D1676" s="74" t="s">
        <v>1227</v>
      </c>
      <c r="E1676" s="74" t="s">
        <v>1224</v>
      </c>
      <c r="F1676" s="74" t="s">
        <v>1226</v>
      </c>
      <c r="G1676" s="74" t="s">
        <v>1225</v>
      </c>
    </row>
    <row r="1677" spans="1:7" x14ac:dyDescent="0.2">
      <c r="A1677" s="39">
        <v>6840</v>
      </c>
      <c r="B1677" s="38" t="s">
        <v>2338</v>
      </c>
      <c r="C1677" s="39" t="s">
        <v>1036</v>
      </c>
      <c r="D1677" s="74" t="s">
        <v>1227</v>
      </c>
      <c r="E1677" s="74" t="s">
        <v>1224</v>
      </c>
      <c r="F1677" s="74" t="s">
        <v>1226</v>
      </c>
      <c r="G1677" s="74" t="s">
        <v>1226</v>
      </c>
    </row>
    <row r="1678" spans="1:7" x14ac:dyDescent="0.2">
      <c r="A1678" s="39">
        <v>6841</v>
      </c>
      <c r="B1678" s="38" t="s">
        <v>2339</v>
      </c>
      <c r="C1678" s="39" t="s">
        <v>1036</v>
      </c>
      <c r="D1678" s="74" t="s">
        <v>1227</v>
      </c>
      <c r="E1678" s="74" t="s">
        <v>1224</v>
      </c>
      <c r="F1678" s="74" t="s">
        <v>1226</v>
      </c>
      <c r="G1678" s="74" t="s">
        <v>1226</v>
      </c>
    </row>
    <row r="1679" spans="1:7" x14ac:dyDescent="0.2">
      <c r="A1679" s="39">
        <v>6842</v>
      </c>
      <c r="B1679" s="38" t="s">
        <v>2340</v>
      </c>
      <c r="C1679" s="39" t="s">
        <v>1036</v>
      </c>
      <c r="D1679" s="74" t="s">
        <v>1227</v>
      </c>
      <c r="E1679" s="74" t="s">
        <v>1224</v>
      </c>
      <c r="F1679" s="74" t="s">
        <v>1226</v>
      </c>
      <c r="G1679" s="74" t="s">
        <v>1226</v>
      </c>
    </row>
    <row r="1680" spans="1:7" x14ac:dyDescent="0.2">
      <c r="A1680" s="39">
        <v>6844</v>
      </c>
      <c r="B1680" s="38" t="s">
        <v>2341</v>
      </c>
      <c r="C1680" s="39" t="s">
        <v>1036</v>
      </c>
      <c r="D1680" s="74" t="s">
        <v>1227</v>
      </c>
      <c r="E1680" s="74" t="s">
        <v>1224</v>
      </c>
      <c r="F1680" s="74" t="s">
        <v>1226</v>
      </c>
      <c r="G1680" s="74" t="s">
        <v>1226</v>
      </c>
    </row>
    <row r="1681" spans="1:7" x14ac:dyDescent="0.2">
      <c r="A1681" s="39">
        <v>6845</v>
      </c>
      <c r="B1681" s="38" t="s">
        <v>2342</v>
      </c>
      <c r="C1681" s="39" t="s">
        <v>1036</v>
      </c>
      <c r="D1681" s="74" t="s">
        <v>1227</v>
      </c>
      <c r="E1681" s="74" t="s">
        <v>1224</v>
      </c>
      <c r="F1681" s="74" t="s">
        <v>1226</v>
      </c>
      <c r="G1681" s="74" t="s">
        <v>1226</v>
      </c>
    </row>
    <row r="1682" spans="1:7" x14ac:dyDescent="0.2">
      <c r="A1682" s="39">
        <v>6850</v>
      </c>
      <c r="B1682" s="38" t="s">
        <v>2343</v>
      </c>
      <c r="C1682" s="39" t="s">
        <v>1036</v>
      </c>
      <c r="D1682" s="74" t="s">
        <v>1227</v>
      </c>
      <c r="E1682" s="74" t="s">
        <v>1224</v>
      </c>
      <c r="F1682" s="74" t="s">
        <v>1226</v>
      </c>
      <c r="G1682" s="74" t="s">
        <v>1226</v>
      </c>
    </row>
    <row r="1683" spans="1:7" x14ac:dyDescent="0.2">
      <c r="A1683" s="39">
        <v>6851</v>
      </c>
      <c r="B1683" s="38" t="s">
        <v>2344</v>
      </c>
      <c r="C1683" s="39" t="s">
        <v>1036</v>
      </c>
      <c r="D1683" s="74" t="s">
        <v>1229</v>
      </c>
      <c r="E1683" s="74" t="s">
        <v>1224</v>
      </c>
      <c r="F1683" s="74" t="s">
        <v>1225</v>
      </c>
      <c r="G1683" s="74" t="s">
        <v>1226</v>
      </c>
    </row>
    <row r="1684" spans="1:7" x14ac:dyDescent="0.2">
      <c r="A1684" s="39">
        <v>6852</v>
      </c>
      <c r="B1684" s="38" t="s">
        <v>2345</v>
      </c>
      <c r="C1684" s="39" t="s">
        <v>1036</v>
      </c>
      <c r="D1684" s="74" t="s">
        <v>1229</v>
      </c>
      <c r="E1684" s="74" t="s">
        <v>1224</v>
      </c>
      <c r="F1684" s="74" t="s">
        <v>1225</v>
      </c>
      <c r="G1684" s="74" t="s">
        <v>1226</v>
      </c>
    </row>
    <row r="1685" spans="1:7" x14ac:dyDescent="0.2">
      <c r="A1685" s="39">
        <v>6853</v>
      </c>
      <c r="B1685" s="38" t="s">
        <v>2346</v>
      </c>
      <c r="C1685" s="39" t="s">
        <v>1036</v>
      </c>
      <c r="D1685" s="74" t="s">
        <v>1229</v>
      </c>
      <c r="E1685" s="74" t="s">
        <v>1224</v>
      </c>
      <c r="F1685" s="74" t="s">
        <v>1225</v>
      </c>
      <c r="G1685" s="74" t="s">
        <v>1226</v>
      </c>
    </row>
    <row r="1686" spans="1:7" x14ac:dyDescent="0.2">
      <c r="A1686" s="39">
        <v>6854</v>
      </c>
      <c r="B1686" s="38" t="s">
        <v>2347</v>
      </c>
      <c r="C1686" s="39" t="s">
        <v>1036</v>
      </c>
      <c r="D1686" s="74" t="s">
        <v>1229</v>
      </c>
      <c r="E1686" s="74" t="s">
        <v>1224</v>
      </c>
      <c r="F1686" s="74" t="s">
        <v>1225</v>
      </c>
      <c r="G1686" s="74" t="s">
        <v>1226</v>
      </c>
    </row>
    <row r="1687" spans="1:7" x14ac:dyDescent="0.2">
      <c r="A1687" s="39">
        <v>6857</v>
      </c>
      <c r="B1687" s="38" t="s">
        <v>2348</v>
      </c>
      <c r="C1687" s="39" t="s">
        <v>1036</v>
      </c>
      <c r="D1687" s="74" t="s">
        <v>1229</v>
      </c>
      <c r="E1687" s="74" t="s">
        <v>1224</v>
      </c>
      <c r="F1687" s="74" t="s">
        <v>1225</v>
      </c>
      <c r="G1687" s="74" t="s">
        <v>1226</v>
      </c>
    </row>
    <row r="1688" spans="1:7" x14ac:dyDescent="0.2">
      <c r="A1688" s="39">
        <v>6858</v>
      </c>
      <c r="B1688" s="38" t="s">
        <v>2349</v>
      </c>
      <c r="C1688" s="39" t="s">
        <v>1036</v>
      </c>
      <c r="D1688" s="74" t="s">
        <v>1227</v>
      </c>
      <c r="E1688" s="74" t="s">
        <v>1224</v>
      </c>
      <c r="F1688" s="74" t="s">
        <v>1226</v>
      </c>
      <c r="G1688" s="74" t="s">
        <v>1226</v>
      </c>
    </row>
    <row r="1689" spans="1:7" x14ac:dyDescent="0.2">
      <c r="A1689" s="39">
        <v>6861</v>
      </c>
      <c r="B1689" s="38" t="s">
        <v>2350</v>
      </c>
      <c r="C1689" s="39" t="s">
        <v>1036</v>
      </c>
      <c r="D1689" s="74" t="s">
        <v>1227</v>
      </c>
      <c r="E1689" s="74" t="s">
        <v>1224</v>
      </c>
      <c r="F1689" s="74" t="s">
        <v>1226</v>
      </c>
      <c r="G1689" s="74" t="s">
        <v>1226</v>
      </c>
    </row>
    <row r="1690" spans="1:7" x14ac:dyDescent="0.2">
      <c r="A1690" s="39">
        <v>6863</v>
      </c>
      <c r="B1690" s="38" t="s">
        <v>2351</v>
      </c>
      <c r="C1690" s="39" t="s">
        <v>1036</v>
      </c>
      <c r="D1690" s="74" t="s">
        <v>1227</v>
      </c>
      <c r="E1690" s="74" t="s">
        <v>1224</v>
      </c>
      <c r="F1690" s="74" t="s">
        <v>1226</v>
      </c>
      <c r="G1690" s="74" t="s">
        <v>1226</v>
      </c>
    </row>
    <row r="1691" spans="1:7" x14ac:dyDescent="0.2">
      <c r="A1691" s="39">
        <v>6866</v>
      </c>
      <c r="B1691" s="38" t="s">
        <v>2352</v>
      </c>
      <c r="C1691" s="39" t="s">
        <v>1036</v>
      </c>
      <c r="D1691" s="74" t="s">
        <v>1227</v>
      </c>
      <c r="E1691" s="74" t="s">
        <v>1224</v>
      </c>
      <c r="F1691" s="74" t="s">
        <v>1226</v>
      </c>
      <c r="G1691" s="74" t="s">
        <v>1225</v>
      </c>
    </row>
    <row r="1692" spans="1:7" x14ac:dyDescent="0.2">
      <c r="A1692" s="39">
        <v>6867</v>
      </c>
      <c r="B1692" s="38" t="s">
        <v>2353</v>
      </c>
      <c r="C1692" s="39" t="s">
        <v>1036</v>
      </c>
      <c r="D1692" s="74" t="s">
        <v>1227</v>
      </c>
      <c r="E1692" s="74" t="s">
        <v>1224</v>
      </c>
      <c r="F1692" s="74" t="s">
        <v>1226</v>
      </c>
      <c r="G1692" s="74" t="s">
        <v>1225</v>
      </c>
    </row>
    <row r="1693" spans="1:7" x14ac:dyDescent="0.2">
      <c r="A1693" s="39">
        <v>6870</v>
      </c>
      <c r="B1693" s="38" t="s">
        <v>2354</v>
      </c>
      <c r="C1693" s="39" t="s">
        <v>1036</v>
      </c>
      <c r="D1693" s="74" t="s">
        <v>1227</v>
      </c>
      <c r="E1693" s="74" t="s">
        <v>1224</v>
      </c>
      <c r="F1693" s="74" t="s">
        <v>1226</v>
      </c>
      <c r="G1693" s="74" t="s">
        <v>1226</v>
      </c>
    </row>
    <row r="1694" spans="1:7" x14ac:dyDescent="0.2">
      <c r="A1694" s="39">
        <v>6874</v>
      </c>
      <c r="B1694" s="38" t="s">
        <v>2355</v>
      </c>
      <c r="C1694" s="39" t="s">
        <v>1036</v>
      </c>
      <c r="D1694" s="74" t="s">
        <v>1227</v>
      </c>
      <c r="E1694" s="74" t="s">
        <v>1224</v>
      </c>
      <c r="F1694" s="74" t="s">
        <v>1226</v>
      </c>
      <c r="G1694" s="74" t="s">
        <v>1225</v>
      </c>
    </row>
    <row r="1695" spans="1:7" x14ac:dyDescent="0.2">
      <c r="A1695" s="39">
        <v>6881</v>
      </c>
      <c r="B1695" s="38" t="s">
        <v>2356</v>
      </c>
      <c r="C1695" s="39" t="s">
        <v>1036</v>
      </c>
      <c r="D1695" s="74" t="s">
        <v>1227</v>
      </c>
      <c r="E1695" s="74" t="s">
        <v>1224</v>
      </c>
      <c r="F1695" s="74" t="s">
        <v>1226</v>
      </c>
      <c r="G1695" s="74" t="s">
        <v>1226</v>
      </c>
    </row>
    <row r="1696" spans="1:7" x14ac:dyDescent="0.2">
      <c r="A1696" s="39">
        <v>6882</v>
      </c>
      <c r="B1696" s="38" t="s">
        <v>2357</v>
      </c>
      <c r="C1696" s="39" t="s">
        <v>1036</v>
      </c>
      <c r="D1696" s="74" t="s">
        <v>1227</v>
      </c>
      <c r="E1696" s="74" t="s">
        <v>1224</v>
      </c>
      <c r="F1696" s="74" t="s">
        <v>1226</v>
      </c>
      <c r="G1696" s="74" t="s">
        <v>1225</v>
      </c>
    </row>
    <row r="1697" spans="1:7" x14ac:dyDescent="0.2">
      <c r="A1697" s="39">
        <v>6883</v>
      </c>
      <c r="B1697" s="38" t="s">
        <v>2358</v>
      </c>
      <c r="C1697" s="39" t="s">
        <v>1036</v>
      </c>
      <c r="D1697" s="74" t="s">
        <v>1227</v>
      </c>
      <c r="E1697" s="74" t="s">
        <v>1224</v>
      </c>
      <c r="F1697" s="74" t="s">
        <v>1226</v>
      </c>
      <c r="G1697" s="74" t="s">
        <v>1226</v>
      </c>
    </row>
    <row r="1698" spans="1:7" x14ac:dyDescent="0.2">
      <c r="A1698" s="39">
        <v>6884</v>
      </c>
      <c r="B1698" s="38" t="s">
        <v>2359</v>
      </c>
      <c r="C1698" s="39" t="s">
        <v>1036</v>
      </c>
      <c r="D1698" s="74" t="s">
        <v>1227</v>
      </c>
      <c r="E1698" s="74" t="s">
        <v>1224</v>
      </c>
      <c r="F1698" s="74" t="s">
        <v>1226</v>
      </c>
      <c r="G1698" s="74" t="s">
        <v>1225</v>
      </c>
    </row>
    <row r="1699" spans="1:7" x14ac:dyDescent="0.2">
      <c r="A1699" s="39">
        <v>6886</v>
      </c>
      <c r="B1699" s="38" t="s">
        <v>2360</v>
      </c>
      <c r="C1699" s="39" t="s">
        <v>1036</v>
      </c>
      <c r="D1699" s="74" t="s">
        <v>1227</v>
      </c>
      <c r="E1699" s="74" t="s">
        <v>1224</v>
      </c>
      <c r="F1699" s="74" t="s">
        <v>1226</v>
      </c>
      <c r="G1699" s="74" t="s">
        <v>1225</v>
      </c>
    </row>
    <row r="1700" spans="1:7" x14ac:dyDescent="0.2">
      <c r="A1700" s="39">
        <v>6888</v>
      </c>
      <c r="B1700" s="38" t="s">
        <v>2361</v>
      </c>
      <c r="C1700" s="39" t="s">
        <v>1036</v>
      </c>
      <c r="D1700" s="74" t="s">
        <v>1227</v>
      </c>
      <c r="E1700" s="74" t="s">
        <v>1224</v>
      </c>
      <c r="F1700" s="74" t="s">
        <v>1226</v>
      </c>
      <c r="G1700" s="74" t="s">
        <v>1225</v>
      </c>
    </row>
    <row r="1701" spans="1:7" x14ac:dyDescent="0.2">
      <c r="A1701" s="39">
        <v>6890</v>
      </c>
      <c r="B1701" s="38" t="s">
        <v>2362</v>
      </c>
      <c r="C1701" s="39" t="s">
        <v>1036</v>
      </c>
      <c r="D1701" s="74" t="s">
        <v>1227</v>
      </c>
      <c r="E1701" s="74" t="s">
        <v>1224</v>
      </c>
      <c r="F1701" s="74" t="s">
        <v>1226</v>
      </c>
      <c r="G1701" s="74" t="s">
        <v>1226</v>
      </c>
    </row>
    <row r="1702" spans="1:7" x14ac:dyDescent="0.2">
      <c r="A1702" s="39">
        <v>6893</v>
      </c>
      <c r="B1702" s="38" t="s">
        <v>2363</v>
      </c>
      <c r="C1702" s="39" t="s">
        <v>1036</v>
      </c>
      <c r="D1702" s="74" t="s">
        <v>1229</v>
      </c>
      <c r="E1702" s="74" t="s">
        <v>1224</v>
      </c>
      <c r="F1702" s="74" t="s">
        <v>1225</v>
      </c>
      <c r="G1702" s="74" t="s">
        <v>1226</v>
      </c>
    </row>
    <row r="1703" spans="1:7" x14ac:dyDescent="0.2">
      <c r="A1703" s="39">
        <v>6900</v>
      </c>
      <c r="B1703" s="38" t="s">
        <v>2364</v>
      </c>
      <c r="C1703" s="39" t="s">
        <v>1036</v>
      </c>
      <c r="D1703" s="74" t="s">
        <v>1227</v>
      </c>
      <c r="E1703" s="74" t="s">
        <v>1224</v>
      </c>
      <c r="F1703" s="74" t="s">
        <v>1226</v>
      </c>
      <c r="G1703" s="74" t="s">
        <v>1226</v>
      </c>
    </row>
    <row r="1704" spans="1:7" x14ac:dyDescent="0.2">
      <c r="A1704" s="39">
        <v>6901</v>
      </c>
      <c r="B1704" s="38" t="s">
        <v>2365</v>
      </c>
      <c r="C1704" s="39" t="s">
        <v>1036</v>
      </c>
      <c r="D1704" s="74" t="s">
        <v>1229</v>
      </c>
      <c r="E1704" s="74" t="s">
        <v>1224</v>
      </c>
      <c r="F1704" s="74" t="s">
        <v>1225</v>
      </c>
      <c r="G1704" s="74" t="s">
        <v>1226</v>
      </c>
    </row>
    <row r="1705" spans="1:7" x14ac:dyDescent="0.2">
      <c r="A1705" s="39">
        <v>6903</v>
      </c>
      <c r="B1705" s="38" t="s">
        <v>2366</v>
      </c>
      <c r="C1705" s="39" t="s">
        <v>1036</v>
      </c>
      <c r="D1705" s="74" t="s">
        <v>1229</v>
      </c>
      <c r="E1705" s="74" t="s">
        <v>1224</v>
      </c>
      <c r="F1705" s="74" t="s">
        <v>1225</v>
      </c>
      <c r="G1705" s="74" t="s">
        <v>1226</v>
      </c>
    </row>
    <row r="1706" spans="1:7" x14ac:dyDescent="0.2">
      <c r="A1706" s="39">
        <v>6904</v>
      </c>
      <c r="B1706" s="38" t="s">
        <v>2367</v>
      </c>
      <c r="C1706" s="39" t="s">
        <v>1036</v>
      </c>
      <c r="D1706" s="74" t="s">
        <v>1229</v>
      </c>
      <c r="E1706" s="74" t="s">
        <v>1224</v>
      </c>
      <c r="F1706" s="74" t="s">
        <v>1225</v>
      </c>
      <c r="G1706" s="74" t="s">
        <v>1226</v>
      </c>
    </row>
    <row r="1707" spans="1:7" x14ac:dyDescent="0.2">
      <c r="A1707" s="39">
        <v>6905</v>
      </c>
      <c r="B1707" s="38" t="s">
        <v>2368</v>
      </c>
      <c r="C1707" s="39" t="s">
        <v>1036</v>
      </c>
      <c r="D1707" s="74" t="s">
        <v>1229</v>
      </c>
      <c r="E1707" s="74" t="s">
        <v>1224</v>
      </c>
      <c r="F1707" s="74" t="s">
        <v>1225</v>
      </c>
      <c r="G1707" s="74" t="s">
        <v>1226</v>
      </c>
    </row>
    <row r="1708" spans="1:7" x14ac:dyDescent="0.2">
      <c r="A1708" s="39">
        <v>6911</v>
      </c>
      <c r="B1708" s="38" t="s">
        <v>2369</v>
      </c>
      <c r="C1708" s="39" t="s">
        <v>1036</v>
      </c>
      <c r="D1708" s="74" t="s">
        <v>1227</v>
      </c>
      <c r="E1708" s="74" t="s">
        <v>1224</v>
      </c>
      <c r="F1708" s="74" t="s">
        <v>1226</v>
      </c>
      <c r="G1708" s="74" t="s">
        <v>1226</v>
      </c>
    </row>
    <row r="1709" spans="1:7" x14ac:dyDescent="0.2">
      <c r="A1709" s="39">
        <v>6912</v>
      </c>
      <c r="B1709" s="38" t="s">
        <v>2370</v>
      </c>
      <c r="C1709" s="39" t="s">
        <v>1036</v>
      </c>
      <c r="D1709" s="74" t="s">
        <v>1227</v>
      </c>
      <c r="E1709" s="74" t="s">
        <v>1224</v>
      </c>
      <c r="F1709" s="74" t="s">
        <v>1226</v>
      </c>
      <c r="G1709" s="74" t="s">
        <v>1226</v>
      </c>
    </row>
    <row r="1710" spans="1:7" x14ac:dyDescent="0.2">
      <c r="A1710" s="39">
        <v>6914</v>
      </c>
      <c r="B1710" s="38" t="s">
        <v>2371</v>
      </c>
      <c r="C1710" s="39" t="s">
        <v>1036</v>
      </c>
      <c r="D1710" s="74" t="s">
        <v>1227</v>
      </c>
      <c r="E1710" s="74" t="s">
        <v>1224</v>
      </c>
      <c r="F1710" s="74" t="s">
        <v>1226</v>
      </c>
      <c r="G1710" s="74" t="s">
        <v>1225</v>
      </c>
    </row>
    <row r="1711" spans="1:7" x14ac:dyDescent="0.2">
      <c r="A1711" s="39">
        <v>6921</v>
      </c>
      <c r="B1711" s="38" t="s">
        <v>2372</v>
      </c>
      <c r="C1711" s="39" t="s">
        <v>1036</v>
      </c>
      <c r="D1711" s="74" t="s">
        <v>1227</v>
      </c>
      <c r="E1711" s="74" t="s">
        <v>1224</v>
      </c>
      <c r="F1711" s="74" t="s">
        <v>1226</v>
      </c>
      <c r="G1711" s="74" t="s">
        <v>1226</v>
      </c>
    </row>
    <row r="1712" spans="1:7" x14ac:dyDescent="0.2">
      <c r="A1712" s="39">
        <v>6922</v>
      </c>
      <c r="B1712" s="38" t="s">
        <v>2373</v>
      </c>
      <c r="C1712" s="39" t="s">
        <v>1036</v>
      </c>
      <c r="D1712" s="74" t="s">
        <v>1227</v>
      </c>
      <c r="E1712" s="74" t="s">
        <v>1224</v>
      </c>
      <c r="F1712" s="74" t="s">
        <v>1226</v>
      </c>
      <c r="G1712" s="74" t="s">
        <v>1226</v>
      </c>
    </row>
    <row r="1713" spans="1:7" x14ac:dyDescent="0.2">
      <c r="A1713" s="39">
        <v>6923</v>
      </c>
      <c r="B1713" s="38" t="s">
        <v>2374</v>
      </c>
      <c r="C1713" s="39" t="s">
        <v>1036</v>
      </c>
      <c r="D1713" s="74" t="s">
        <v>1227</v>
      </c>
      <c r="E1713" s="74" t="s">
        <v>1224</v>
      </c>
      <c r="F1713" s="74" t="s">
        <v>1226</v>
      </c>
      <c r="G1713" s="74" t="s">
        <v>1226</v>
      </c>
    </row>
    <row r="1714" spans="1:7" x14ac:dyDescent="0.2">
      <c r="A1714" s="39">
        <v>6932</v>
      </c>
      <c r="B1714" s="38" t="s">
        <v>2375</v>
      </c>
      <c r="C1714" s="39" t="s">
        <v>1036</v>
      </c>
      <c r="D1714" s="74" t="s">
        <v>1227</v>
      </c>
      <c r="E1714" s="74" t="s">
        <v>1224</v>
      </c>
      <c r="F1714" s="74" t="s">
        <v>1226</v>
      </c>
      <c r="G1714" s="74" t="s">
        <v>1226</v>
      </c>
    </row>
    <row r="1715" spans="1:7" x14ac:dyDescent="0.2">
      <c r="A1715" s="39">
        <v>6933</v>
      </c>
      <c r="B1715" s="38" t="s">
        <v>2376</v>
      </c>
      <c r="C1715" s="39" t="s">
        <v>1036</v>
      </c>
      <c r="D1715" s="74" t="s">
        <v>1227</v>
      </c>
      <c r="E1715" s="74" t="s">
        <v>1224</v>
      </c>
      <c r="F1715" s="74" t="s">
        <v>1226</v>
      </c>
      <c r="G1715" s="74" t="s">
        <v>1225</v>
      </c>
    </row>
    <row r="1716" spans="1:7" x14ac:dyDescent="0.2">
      <c r="A1716" s="39">
        <v>6934</v>
      </c>
      <c r="B1716" s="38" t="s">
        <v>2377</v>
      </c>
      <c r="C1716" s="39" t="s">
        <v>1036</v>
      </c>
      <c r="D1716" s="74" t="s">
        <v>1227</v>
      </c>
      <c r="E1716" s="74" t="s">
        <v>1224</v>
      </c>
      <c r="F1716" s="74" t="s">
        <v>1226</v>
      </c>
      <c r="G1716" s="74" t="s">
        <v>1225</v>
      </c>
    </row>
    <row r="1717" spans="1:7" x14ac:dyDescent="0.2">
      <c r="A1717" s="39">
        <v>6941</v>
      </c>
      <c r="B1717" s="38" t="s">
        <v>2378</v>
      </c>
      <c r="C1717" s="39" t="s">
        <v>1036</v>
      </c>
      <c r="D1717" s="74" t="s">
        <v>1227</v>
      </c>
      <c r="E1717" s="74" t="s">
        <v>1224</v>
      </c>
      <c r="F1717" s="74" t="s">
        <v>1226</v>
      </c>
      <c r="G1717" s="74" t="s">
        <v>1225</v>
      </c>
    </row>
    <row r="1718" spans="1:7" x14ac:dyDescent="0.2">
      <c r="A1718" s="39">
        <v>6942</v>
      </c>
      <c r="B1718" s="38" t="s">
        <v>1869</v>
      </c>
      <c r="C1718" s="39" t="s">
        <v>1036</v>
      </c>
      <c r="D1718" s="74" t="s">
        <v>1227</v>
      </c>
      <c r="E1718" s="74" t="s">
        <v>1224</v>
      </c>
      <c r="F1718" s="74" t="s">
        <v>1226</v>
      </c>
      <c r="G1718" s="74" t="s">
        <v>1226</v>
      </c>
    </row>
    <row r="1719" spans="1:7" x14ac:dyDescent="0.2">
      <c r="A1719" s="39">
        <v>6943</v>
      </c>
      <c r="B1719" s="38" t="s">
        <v>2379</v>
      </c>
      <c r="C1719" s="39" t="s">
        <v>1036</v>
      </c>
      <c r="D1719" s="74" t="s">
        <v>1227</v>
      </c>
      <c r="E1719" s="74" t="s">
        <v>1224</v>
      </c>
      <c r="F1719" s="74" t="s">
        <v>1226</v>
      </c>
      <c r="G1719" s="74" t="s">
        <v>1225</v>
      </c>
    </row>
    <row r="1720" spans="1:7" x14ac:dyDescent="0.2">
      <c r="A1720" s="39">
        <v>6951</v>
      </c>
      <c r="B1720" s="38" t="s">
        <v>2380</v>
      </c>
      <c r="C1720" s="39" t="s">
        <v>1036</v>
      </c>
      <c r="D1720" s="74" t="s">
        <v>1227</v>
      </c>
      <c r="E1720" s="74" t="s">
        <v>1224</v>
      </c>
      <c r="F1720" s="74" t="s">
        <v>1226</v>
      </c>
      <c r="G1720" s="74" t="s">
        <v>1225</v>
      </c>
    </row>
    <row r="1721" spans="1:7" x14ac:dyDescent="0.2">
      <c r="A1721" s="39">
        <v>6952</v>
      </c>
      <c r="B1721" s="38" t="s">
        <v>2381</v>
      </c>
      <c r="C1721" s="39" t="s">
        <v>1036</v>
      </c>
      <c r="D1721" s="74" t="s">
        <v>1227</v>
      </c>
      <c r="E1721" s="74" t="s">
        <v>1224</v>
      </c>
      <c r="F1721" s="74" t="s">
        <v>1226</v>
      </c>
      <c r="G1721" s="74" t="s">
        <v>1226</v>
      </c>
    </row>
    <row r="1722" spans="1:7" x14ac:dyDescent="0.2">
      <c r="A1722" s="39">
        <v>6960</v>
      </c>
      <c r="B1722" s="38" t="s">
        <v>2382</v>
      </c>
      <c r="C1722" s="39" t="s">
        <v>1036</v>
      </c>
      <c r="D1722" s="74" t="s">
        <v>1227</v>
      </c>
      <c r="E1722" s="74" t="s">
        <v>1224</v>
      </c>
      <c r="F1722" s="74" t="s">
        <v>1226</v>
      </c>
      <c r="G1722" s="74" t="s">
        <v>1226</v>
      </c>
    </row>
    <row r="1723" spans="1:7" x14ac:dyDescent="0.2">
      <c r="A1723" s="39">
        <v>6961</v>
      </c>
      <c r="B1723" s="38" t="s">
        <v>2383</v>
      </c>
      <c r="C1723" s="39" t="s">
        <v>1036</v>
      </c>
      <c r="D1723" s="74" t="s">
        <v>1229</v>
      </c>
      <c r="E1723" s="74" t="s">
        <v>1224</v>
      </c>
      <c r="F1723" s="74" t="s">
        <v>1225</v>
      </c>
      <c r="G1723" s="74" t="s">
        <v>1226</v>
      </c>
    </row>
    <row r="1724" spans="1:7" x14ac:dyDescent="0.2">
      <c r="A1724" s="39">
        <v>6971</v>
      </c>
      <c r="B1724" s="38" t="s">
        <v>2384</v>
      </c>
      <c r="C1724" s="39" t="s">
        <v>1036</v>
      </c>
      <c r="D1724" s="74" t="s">
        <v>1227</v>
      </c>
      <c r="E1724" s="74" t="s">
        <v>1224</v>
      </c>
      <c r="F1724" s="74" t="s">
        <v>1226</v>
      </c>
      <c r="G1724" s="74" t="s">
        <v>1226</v>
      </c>
    </row>
    <row r="1725" spans="1:7" x14ac:dyDescent="0.2">
      <c r="A1725" s="39">
        <v>6972</v>
      </c>
      <c r="B1725" s="38" t="s">
        <v>2385</v>
      </c>
      <c r="C1725" s="39" t="s">
        <v>1036</v>
      </c>
      <c r="D1725" s="74" t="s">
        <v>1227</v>
      </c>
      <c r="E1725" s="74" t="s">
        <v>1224</v>
      </c>
      <c r="F1725" s="74" t="s">
        <v>1226</v>
      </c>
      <c r="G1725" s="74" t="s">
        <v>1226</v>
      </c>
    </row>
    <row r="1726" spans="1:7" x14ac:dyDescent="0.2">
      <c r="A1726" s="39">
        <v>6973</v>
      </c>
      <c r="B1726" s="38" t="s">
        <v>2386</v>
      </c>
      <c r="C1726" s="39" t="s">
        <v>1036</v>
      </c>
      <c r="D1726" s="74" t="s">
        <v>1227</v>
      </c>
      <c r="E1726" s="74" t="s">
        <v>1224</v>
      </c>
      <c r="F1726" s="74" t="s">
        <v>1226</v>
      </c>
      <c r="G1726" s="74" t="s">
        <v>1226</v>
      </c>
    </row>
    <row r="1727" spans="1:7" x14ac:dyDescent="0.2">
      <c r="A1727" s="39">
        <v>6974</v>
      </c>
      <c r="B1727" s="38" t="s">
        <v>2387</v>
      </c>
      <c r="C1727" s="39" t="s">
        <v>1036</v>
      </c>
      <c r="D1727" s="74" t="s">
        <v>1227</v>
      </c>
      <c r="E1727" s="74" t="s">
        <v>1224</v>
      </c>
      <c r="F1727" s="74" t="s">
        <v>1226</v>
      </c>
      <c r="G1727" s="74" t="s">
        <v>1226</v>
      </c>
    </row>
    <row r="1728" spans="1:7" x14ac:dyDescent="0.2">
      <c r="A1728" s="39">
        <v>6991</v>
      </c>
      <c r="B1728" s="38" t="s">
        <v>2388</v>
      </c>
      <c r="C1728" s="39" t="s">
        <v>1036</v>
      </c>
      <c r="D1728" s="74" t="s">
        <v>1227</v>
      </c>
      <c r="E1728" s="74" t="s">
        <v>1224</v>
      </c>
      <c r="F1728" s="74" t="s">
        <v>1226</v>
      </c>
      <c r="G1728" s="74" t="s">
        <v>1226</v>
      </c>
    </row>
    <row r="1729" spans="1:7" x14ac:dyDescent="0.2">
      <c r="A1729" s="39">
        <v>6992</v>
      </c>
      <c r="B1729" s="38" t="s">
        <v>2389</v>
      </c>
      <c r="C1729" s="39" t="s">
        <v>1036</v>
      </c>
      <c r="D1729" s="74" t="s">
        <v>1227</v>
      </c>
      <c r="E1729" s="74" t="s">
        <v>1224</v>
      </c>
      <c r="F1729" s="74" t="s">
        <v>1226</v>
      </c>
      <c r="G1729" s="74" t="s">
        <v>1226</v>
      </c>
    </row>
    <row r="1730" spans="1:7" x14ac:dyDescent="0.2">
      <c r="A1730" s="39">
        <v>6993</v>
      </c>
      <c r="B1730" s="38" t="s">
        <v>2390</v>
      </c>
      <c r="C1730" s="39" t="s">
        <v>1036</v>
      </c>
      <c r="D1730" s="74" t="s">
        <v>1227</v>
      </c>
      <c r="E1730" s="74" t="s">
        <v>1224</v>
      </c>
      <c r="F1730" s="74" t="s">
        <v>1226</v>
      </c>
      <c r="G1730" s="74" t="s">
        <v>1225</v>
      </c>
    </row>
    <row r="1731" spans="1:7" x14ac:dyDescent="0.2">
      <c r="A1731" s="39">
        <v>7000</v>
      </c>
      <c r="B1731" s="38" t="s">
        <v>136</v>
      </c>
      <c r="C1731" s="39" t="s">
        <v>1748</v>
      </c>
      <c r="D1731" s="74" t="s">
        <v>1227</v>
      </c>
      <c r="E1731" s="74" t="s">
        <v>1224</v>
      </c>
      <c r="F1731" s="74" t="s">
        <v>1226</v>
      </c>
      <c r="G1731" s="74" t="s">
        <v>1226</v>
      </c>
    </row>
    <row r="1732" spans="1:7" x14ac:dyDescent="0.2">
      <c r="A1732" s="39">
        <v>7001</v>
      </c>
      <c r="B1732" s="38" t="s">
        <v>2391</v>
      </c>
      <c r="C1732" s="39" t="s">
        <v>1748</v>
      </c>
      <c r="D1732" s="74" t="s">
        <v>1229</v>
      </c>
      <c r="E1732" s="74" t="s">
        <v>1224</v>
      </c>
      <c r="F1732" s="74" t="s">
        <v>1225</v>
      </c>
      <c r="G1732" s="74" t="s">
        <v>1226</v>
      </c>
    </row>
    <row r="1733" spans="1:7" x14ac:dyDescent="0.2">
      <c r="A1733" s="39">
        <v>7002</v>
      </c>
      <c r="B1733" s="38" t="s">
        <v>136</v>
      </c>
      <c r="C1733" s="39" t="s">
        <v>1748</v>
      </c>
      <c r="D1733" s="74" t="s">
        <v>1229</v>
      </c>
      <c r="E1733" s="74" t="s">
        <v>1224</v>
      </c>
      <c r="F1733" s="74" t="s">
        <v>1225</v>
      </c>
      <c r="G1733" s="74" t="s">
        <v>1226</v>
      </c>
    </row>
    <row r="1734" spans="1:7" x14ac:dyDescent="0.2">
      <c r="A1734" s="39">
        <v>7011</v>
      </c>
      <c r="B1734" s="38" t="s">
        <v>2392</v>
      </c>
      <c r="C1734" s="39" t="s">
        <v>1748</v>
      </c>
      <c r="D1734" s="74" t="s">
        <v>1227</v>
      </c>
      <c r="E1734" s="74" t="s">
        <v>1224</v>
      </c>
      <c r="F1734" s="74" t="s">
        <v>1226</v>
      </c>
      <c r="G1734" s="74" t="s">
        <v>1225</v>
      </c>
    </row>
    <row r="1735" spans="1:7" x14ac:dyDescent="0.2">
      <c r="A1735" s="39">
        <v>7013</v>
      </c>
      <c r="B1735" s="38" t="s">
        <v>2393</v>
      </c>
      <c r="C1735" s="39" t="s">
        <v>1748</v>
      </c>
      <c r="D1735" s="74" t="s">
        <v>1227</v>
      </c>
      <c r="E1735" s="74" t="s">
        <v>1224</v>
      </c>
      <c r="F1735" s="74" t="s">
        <v>1226</v>
      </c>
      <c r="G1735" s="74" t="s">
        <v>1226</v>
      </c>
    </row>
    <row r="1736" spans="1:7" x14ac:dyDescent="0.2">
      <c r="A1736" s="39">
        <v>7021</v>
      </c>
      <c r="B1736" s="38" t="s">
        <v>2394</v>
      </c>
      <c r="C1736" s="39" t="s">
        <v>1748</v>
      </c>
      <c r="D1736" s="74" t="s">
        <v>1227</v>
      </c>
      <c r="E1736" s="74" t="s">
        <v>1224</v>
      </c>
      <c r="F1736" s="74" t="s">
        <v>1226</v>
      </c>
      <c r="G1736" s="74" t="s">
        <v>1226</v>
      </c>
    </row>
    <row r="1737" spans="1:7" x14ac:dyDescent="0.2">
      <c r="A1737" s="39">
        <v>7022</v>
      </c>
      <c r="B1737" s="38" t="s">
        <v>2395</v>
      </c>
      <c r="C1737" s="39" t="s">
        <v>1748</v>
      </c>
      <c r="D1737" s="74" t="s">
        <v>1227</v>
      </c>
      <c r="E1737" s="74" t="s">
        <v>1224</v>
      </c>
      <c r="F1737" s="74" t="s">
        <v>1226</v>
      </c>
      <c r="G1737" s="74" t="s">
        <v>1226</v>
      </c>
    </row>
    <row r="1738" spans="1:7" x14ac:dyDescent="0.2">
      <c r="A1738" s="39">
        <v>7023</v>
      </c>
      <c r="B1738" s="38" t="s">
        <v>2396</v>
      </c>
      <c r="C1738" s="39" t="s">
        <v>1748</v>
      </c>
      <c r="D1738" s="74" t="s">
        <v>1227</v>
      </c>
      <c r="E1738" s="74" t="s">
        <v>1224</v>
      </c>
      <c r="F1738" s="74" t="s">
        <v>1226</v>
      </c>
      <c r="G1738" s="74" t="s">
        <v>1225</v>
      </c>
    </row>
    <row r="1739" spans="1:7" x14ac:dyDescent="0.2">
      <c r="A1739" s="39">
        <v>7024</v>
      </c>
      <c r="B1739" s="38" t="s">
        <v>2397</v>
      </c>
      <c r="C1739" s="39" t="s">
        <v>1748</v>
      </c>
      <c r="D1739" s="74" t="s">
        <v>1227</v>
      </c>
      <c r="E1739" s="74" t="s">
        <v>1224</v>
      </c>
      <c r="F1739" s="74" t="s">
        <v>1226</v>
      </c>
      <c r="G1739" s="74" t="s">
        <v>1226</v>
      </c>
    </row>
    <row r="1740" spans="1:7" x14ac:dyDescent="0.2">
      <c r="A1740" s="39">
        <v>7031</v>
      </c>
      <c r="B1740" s="38" t="s">
        <v>2398</v>
      </c>
      <c r="C1740" s="39" t="s">
        <v>1748</v>
      </c>
      <c r="D1740" s="74" t="s">
        <v>1227</v>
      </c>
      <c r="E1740" s="74" t="s">
        <v>1224</v>
      </c>
      <c r="F1740" s="74" t="s">
        <v>1226</v>
      </c>
      <c r="G1740" s="74" t="s">
        <v>1225</v>
      </c>
    </row>
    <row r="1741" spans="1:7" x14ac:dyDescent="0.2">
      <c r="A1741" s="39">
        <v>7032</v>
      </c>
      <c r="B1741" s="38" t="s">
        <v>2399</v>
      </c>
      <c r="C1741" s="39" t="s">
        <v>1748</v>
      </c>
      <c r="D1741" s="74" t="s">
        <v>1227</v>
      </c>
      <c r="E1741" s="74" t="s">
        <v>1224</v>
      </c>
      <c r="F1741" s="74" t="s">
        <v>1226</v>
      </c>
      <c r="G1741" s="74" t="s">
        <v>1225</v>
      </c>
    </row>
    <row r="1742" spans="1:7" x14ac:dyDescent="0.2">
      <c r="A1742" s="39">
        <v>7033</v>
      </c>
      <c r="B1742" s="38" t="s">
        <v>2400</v>
      </c>
      <c r="C1742" s="39" t="s">
        <v>1748</v>
      </c>
      <c r="D1742" s="74" t="s">
        <v>1227</v>
      </c>
      <c r="E1742" s="74" t="s">
        <v>1224</v>
      </c>
      <c r="F1742" s="74" t="s">
        <v>1226</v>
      </c>
      <c r="G1742" s="74" t="s">
        <v>1226</v>
      </c>
    </row>
    <row r="1743" spans="1:7" x14ac:dyDescent="0.2">
      <c r="A1743" s="39">
        <v>7034</v>
      </c>
      <c r="B1743" s="38" t="s">
        <v>2401</v>
      </c>
      <c r="C1743" s="39" t="s">
        <v>1748</v>
      </c>
      <c r="D1743" s="74" t="s">
        <v>1227</v>
      </c>
      <c r="E1743" s="74" t="s">
        <v>1224</v>
      </c>
      <c r="F1743" s="74" t="s">
        <v>1226</v>
      </c>
      <c r="G1743" s="74" t="s">
        <v>1225</v>
      </c>
    </row>
    <row r="1744" spans="1:7" x14ac:dyDescent="0.2">
      <c r="A1744" s="39">
        <v>7035</v>
      </c>
      <c r="B1744" s="38" t="s">
        <v>2402</v>
      </c>
      <c r="C1744" s="39" t="s">
        <v>1748</v>
      </c>
      <c r="D1744" s="74" t="s">
        <v>1227</v>
      </c>
      <c r="E1744" s="74" t="s">
        <v>1224</v>
      </c>
      <c r="F1744" s="74" t="s">
        <v>1226</v>
      </c>
      <c r="G1744" s="74" t="s">
        <v>1226</v>
      </c>
    </row>
    <row r="1745" spans="1:7" x14ac:dyDescent="0.2">
      <c r="A1745" s="39">
        <v>7041</v>
      </c>
      <c r="B1745" s="38" t="s">
        <v>2403</v>
      </c>
      <c r="C1745" s="39" t="s">
        <v>1748</v>
      </c>
      <c r="D1745" s="74" t="s">
        <v>1227</v>
      </c>
      <c r="E1745" s="74" t="s">
        <v>1224</v>
      </c>
      <c r="F1745" s="74" t="s">
        <v>1226</v>
      </c>
      <c r="G1745" s="74" t="s">
        <v>1226</v>
      </c>
    </row>
    <row r="1746" spans="1:7" x14ac:dyDescent="0.2">
      <c r="A1746" s="39">
        <v>7051</v>
      </c>
      <c r="B1746" s="38" t="s">
        <v>2404</v>
      </c>
      <c r="C1746" s="39" t="s">
        <v>1748</v>
      </c>
      <c r="D1746" s="74" t="s">
        <v>1227</v>
      </c>
      <c r="E1746" s="74" t="s">
        <v>1224</v>
      </c>
      <c r="F1746" s="74" t="s">
        <v>1226</v>
      </c>
      <c r="G1746" s="74" t="s">
        <v>1225</v>
      </c>
    </row>
    <row r="1747" spans="1:7" x14ac:dyDescent="0.2">
      <c r="A1747" s="39">
        <v>7052</v>
      </c>
      <c r="B1747" s="38" t="s">
        <v>2405</v>
      </c>
      <c r="C1747" s="39" t="s">
        <v>1748</v>
      </c>
      <c r="D1747" s="74" t="s">
        <v>1227</v>
      </c>
      <c r="E1747" s="74" t="s">
        <v>1224</v>
      </c>
      <c r="F1747" s="74" t="s">
        <v>1226</v>
      </c>
      <c r="G1747" s="74" t="s">
        <v>1225</v>
      </c>
    </row>
    <row r="1748" spans="1:7" x14ac:dyDescent="0.2">
      <c r="A1748" s="39">
        <v>7053</v>
      </c>
      <c r="B1748" s="38" t="s">
        <v>2406</v>
      </c>
      <c r="C1748" s="39" t="s">
        <v>1748</v>
      </c>
      <c r="D1748" s="74" t="s">
        <v>1227</v>
      </c>
      <c r="E1748" s="74" t="s">
        <v>1224</v>
      </c>
      <c r="F1748" s="74" t="s">
        <v>1226</v>
      </c>
      <c r="G1748" s="74" t="s">
        <v>1226</v>
      </c>
    </row>
    <row r="1749" spans="1:7" x14ac:dyDescent="0.2">
      <c r="A1749" s="39">
        <v>7061</v>
      </c>
      <c r="B1749" s="38" t="s">
        <v>2407</v>
      </c>
      <c r="C1749" s="39" t="s">
        <v>1748</v>
      </c>
      <c r="D1749" s="74" t="s">
        <v>1227</v>
      </c>
      <c r="E1749" s="74" t="s">
        <v>1224</v>
      </c>
      <c r="F1749" s="74" t="s">
        <v>1226</v>
      </c>
      <c r="G1749" s="74" t="s">
        <v>1225</v>
      </c>
    </row>
    <row r="1750" spans="1:7" x14ac:dyDescent="0.2">
      <c r="A1750" s="39">
        <v>7062</v>
      </c>
      <c r="B1750" s="38" t="s">
        <v>2408</v>
      </c>
      <c r="C1750" s="39" t="s">
        <v>1748</v>
      </c>
      <c r="D1750" s="74" t="s">
        <v>1227</v>
      </c>
      <c r="E1750" s="74" t="s">
        <v>1224</v>
      </c>
      <c r="F1750" s="74" t="s">
        <v>1226</v>
      </c>
      <c r="G1750" s="74" t="s">
        <v>1226</v>
      </c>
    </row>
    <row r="1751" spans="1:7" x14ac:dyDescent="0.2">
      <c r="A1751" s="39">
        <v>7063</v>
      </c>
      <c r="B1751" s="38" t="s">
        <v>2409</v>
      </c>
      <c r="C1751" s="39" t="s">
        <v>1748</v>
      </c>
      <c r="D1751" s="74" t="s">
        <v>1227</v>
      </c>
      <c r="E1751" s="74" t="s">
        <v>1224</v>
      </c>
      <c r="F1751" s="74" t="s">
        <v>1226</v>
      </c>
      <c r="G1751" s="74" t="s">
        <v>1226</v>
      </c>
    </row>
    <row r="1752" spans="1:7" x14ac:dyDescent="0.2">
      <c r="A1752" s="39">
        <v>7064</v>
      </c>
      <c r="B1752" s="38" t="s">
        <v>2410</v>
      </c>
      <c r="C1752" s="39" t="s">
        <v>1748</v>
      </c>
      <c r="D1752" s="74" t="s">
        <v>1227</v>
      </c>
      <c r="E1752" s="74" t="s">
        <v>1224</v>
      </c>
      <c r="F1752" s="74" t="s">
        <v>1226</v>
      </c>
      <c r="G1752" s="74" t="s">
        <v>1225</v>
      </c>
    </row>
    <row r="1753" spans="1:7" x14ac:dyDescent="0.2">
      <c r="A1753" s="39">
        <v>7071</v>
      </c>
      <c r="B1753" s="38" t="s">
        <v>2411</v>
      </c>
      <c r="C1753" s="39" t="s">
        <v>1748</v>
      </c>
      <c r="D1753" s="74" t="s">
        <v>1227</v>
      </c>
      <c r="E1753" s="74" t="s">
        <v>1224</v>
      </c>
      <c r="F1753" s="74" t="s">
        <v>1226</v>
      </c>
      <c r="G1753" s="74" t="s">
        <v>1226</v>
      </c>
    </row>
    <row r="1754" spans="1:7" x14ac:dyDescent="0.2">
      <c r="A1754" s="39">
        <v>7072</v>
      </c>
      <c r="B1754" s="38" t="s">
        <v>2412</v>
      </c>
      <c r="C1754" s="39" t="s">
        <v>1748</v>
      </c>
      <c r="D1754" s="74" t="s">
        <v>1227</v>
      </c>
      <c r="E1754" s="74" t="s">
        <v>1224</v>
      </c>
      <c r="F1754" s="74" t="s">
        <v>1226</v>
      </c>
      <c r="G1754" s="74" t="s">
        <v>1226</v>
      </c>
    </row>
    <row r="1755" spans="1:7" x14ac:dyDescent="0.2">
      <c r="A1755" s="39">
        <v>7073</v>
      </c>
      <c r="B1755" s="38" t="s">
        <v>2413</v>
      </c>
      <c r="C1755" s="39" t="s">
        <v>1748</v>
      </c>
      <c r="D1755" s="74" t="s">
        <v>1223</v>
      </c>
      <c r="E1755" s="74" t="s">
        <v>1224</v>
      </c>
      <c r="F1755" s="74" t="s">
        <v>1225</v>
      </c>
      <c r="G1755" s="74" t="s">
        <v>1226</v>
      </c>
    </row>
    <row r="1756" spans="1:7" x14ac:dyDescent="0.2">
      <c r="A1756" s="39">
        <v>7081</v>
      </c>
      <c r="B1756" s="38" t="s">
        <v>2414</v>
      </c>
      <c r="C1756" s="39" t="s">
        <v>1748</v>
      </c>
      <c r="D1756" s="74" t="s">
        <v>1227</v>
      </c>
      <c r="E1756" s="74" t="s">
        <v>1224</v>
      </c>
      <c r="F1756" s="74" t="s">
        <v>1226</v>
      </c>
      <c r="G1756" s="74" t="s">
        <v>1225</v>
      </c>
    </row>
    <row r="1757" spans="1:7" x14ac:dyDescent="0.2">
      <c r="A1757" s="39">
        <v>7082</v>
      </c>
      <c r="B1757" s="38" t="s">
        <v>2415</v>
      </c>
      <c r="C1757" s="39" t="s">
        <v>1748</v>
      </c>
      <c r="D1757" s="74" t="s">
        <v>1227</v>
      </c>
      <c r="E1757" s="74" t="s">
        <v>1224</v>
      </c>
      <c r="F1757" s="74" t="s">
        <v>1226</v>
      </c>
      <c r="G1757" s="74" t="s">
        <v>1225</v>
      </c>
    </row>
    <row r="1758" spans="1:7" x14ac:dyDescent="0.2">
      <c r="A1758" s="39">
        <v>7083</v>
      </c>
      <c r="B1758" s="38" t="s">
        <v>2416</v>
      </c>
      <c r="C1758" s="39" t="s">
        <v>1748</v>
      </c>
      <c r="D1758" s="74" t="s">
        <v>1227</v>
      </c>
      <c r="E1758" s="74" t="s">
        <v>1224</v>
      </c>
      <c r="F1758" s="74" t="s">
        <v>1226</v>
      </c>
      <c r="G1758" s="74" t="s">
        <v>1226</v>
      </c>
    </row>
    <row r="1759" spans="1:7" x14ac:dyDescent="0.2">
      <c r="A1759" s="39">
        <v>7091</v>
      </c>
      <c r="B1759" s="38" t="s">
        <v>2417</v>
      </c>
      <c r="C1759" s="39" t="s">
        <v>1748</v>
      </c>
      <c r="D1759" s="74" t="s">
        <v>1227</v>
      </c>
      <c r="E1759" s="74" t="s">
        <v>1224</v>
      </c>
      <c r="F1759" s="74" t="s">
        <v>1226</v>
      </c>
      <c r="G1759" s="74" t="s">
        <v>1226</v>
      </c>
    </row>
    <row r="1760" spans="1:7" x14ac:dyDescent="0.2">
      <c r="A1760" s="39">
        <v>7092</v>
      </c>
      <c r="B1760" s="38" t="s">
        <v>2418</v>
      </c>
      <c r="C1760" s="39" t="s">
        <v>1748</v>
      </c>
      <c r="D1760" s="74" t="s">
        <v>1227</v>
      </c>
      <c r="E1760" s="74" t="s">
        <v>1224</v>
      </c>
      <c r="F1760" s="74" t="s">
        <v>1226</v>
      </c>
      <c r="G1760" s="74" t="s">
        <v>1225</v>
      </c>
    </row>
    <row r="1761" spans="1:7" x14ac:dyDescent="0.2">
      <c r="A1761" s="39">
        <v>7093</v>
      </c>
      <c r="B1761" s="38" t="s">
        <v>2419</v>
      </c>
      <c r="C1761" s="39" t="s">
        <v>1748</v>
      </c>
      <c r="D1761" s="74" t="s">
        <v>1227</v>
      </c>
      <c r="E1761" s="74" t="s">
        <v>1224</v>
      </c>
      <c r="F1761" s="74" t="s">
        <v>1226</v>
      </c>
      <c r="G1761" s="74" t="s">
        <v>1225</v>
      </c>
    </row>
    <row r="1762" spans="1:7" x14ac:dyDescent="0.2">
      <c r="A1762" s="39">
        <v>7100</v>
      </c>
      <c r="B1762" s="38" t="s">
        <v>2420</v>
      </c>
      <c r="C1762" s="39" t="s">
        <v>1748</v>
      </c>
      <c r="D1762" s="74" t="s">
        <v>1227</v>
      </c>
      <c r="E1762" s="74" t="s">
        <v>1224</v>
      </c>
      <c r="F1762" s="74" t="s">
        <v>1226</v>
      </c>
      <c r="G1762" s="74" t="s">
        <v>1226</v>
      </c>
    </row>
    <row r="1763" spans="1:7" x14ac:dyDescent="0.2">
      <c r="A1763" s="39">
        <v>7111</v>
      </c>
      <c r="B1763" s="38" t="s">
        <v>2421</v>
      </c>
      <c r="C1763" s="39" t="s">
        <v>1748</v>
      </c>
      <c r="D1763" s="74" t="s">
        <v>1227</v>
      </c>
      <c r="E1763" s="74" t="s">
        <v>1224</v>
      </c>
      <c r="F1763" s="74" t="s">
        <v>1226</v>
      </c>
      <c r="G1763" s="74" t="s">
        <v>1226</v>
      </c>
    </row>
    <row r="1764" spans="1:7" x14ac:dyDescent="0.2">
      <c r="A1764" s="39">
        <v>7121</v>
      </c>
      <c r="B1764" s="38" t="s">
        <v>2422</v>
      </c>
      <c r="C1764" s="39" t="s">
        <v>1748</v>
      </c>
      <c r="D1764" s="74" t="s">
        <v>1227</v>
      </c>
      <c r="E1764" s="74" t="s">
        <v>1224</v>
      </c>
      <c r="F1764" s="74" t="s">
        <v>1226</v>
      </c>
      <c r="G1764" s="74" t="s">
        <v>1225</v>
      </c>
    </row>
    <row r="1765" spans="1:7" x14ac:dyDescent="0.2">
      <c r="A1765" s="39">
        <v>7122</v>
      </c>
      <c r="B1765" s="38" t="s">
        <v>2423</v>
      </c>
      <c r="C1765" s="39" t="s">
        <v>1748</v>
      </c>
      <c r="D1765" s="74" t="s">
        <v>1227</v>
      </c>
      <c r="E1765" s="74" t="s">
        <v>1224</v>
      </c>
      <c r="F1765" s="74" t="s">
        <v>1226</v>
      </c>
      <c r="G1765" s="74" t="s">
        <v>1226</v>
      </c>
    </row>
    <row r="1766" spans="1:7" x14ac:dyDescent="0.2">
      <c r="A1766" s="39">
        <v>7123</v>
      </c>
      <c r="B1766" s="38" t="s">
        <v>2424</v>
      </c>
      <c r="C1766" s="39" t="s">
        <v>1748</v>
      </c>
      <c r="D1766" s="74" t="s">
        <v>1227</v>
      </c>
      <c r="E1766" s="74" t="s">
        <v>1224</v>
      </c>
      <c r="F1766" s="74" t="s">
        <v>1226</v>
      </c>
      <c r="G1766" s="74" t="s">
        <v>1226</v>
      </c>
    </row>
    <row r="1767" spans="1:7" x14ac:dyDescent="0.2">
      <c r="A1767" s="39">
        <v>7131</v>
      </c>
      <c r="B1767" s="38" t="s">
        <v>2425</v>
      </c>
      <c r="C1767" s="39" t="s">
        <v>1748</v>
      </c>
      <c r="D1767" s="74" t="s">
        <v>1227</v>
      </c>
      <c r="E1767" s="74" t="s">
        <v>1224</v>
      </c>
      <c r="F1767" s="74" t="s">
        <v>1226</v>
      </c>
      <c r="G1767" s="74" t="s">
        <v>1226</v>
      </c>
    </row>
    <row r="1768" spans="1:7" x14ac:dyDescent="0.2">
      <c r="A1768" s="39">
        <v>7132</v>
      </c>
      <c r="B1768" s="38" t="s">
        <v>2426</v>
      </c>
      <c r="C1768" s="39" t="s">
        <v>1748</v>
      </c>
      <c r="D1768" s="74" t="s">
        <v>1227</v>
      </c>
      <c r="E1768" s="74" t="s">
        <v>1224</v>
      </c>
      <c r="F1768" s="74" t="s">
        <v>1226</v>
      </c>
      <c r="G1768" s="74" t="s">
        <v>1226</v>
      </c>
    </row>
    <row r="1769" spans="1:7" x14ac:dyDescent="0.2">
      <c r="A1769" s="39">
        <v>7141</v>
      </c>
      <c r="B1769" s="38" t="s">
        <v>2427</v>
      </c>
      <c r="C1769" s="39" t="s">
        <v>1748</v>
      </c>
      <c r="D1769" s="74" t="s">
        <v>1227</v>
      </c>
      <c r="E1769" s="74" t="s">
        <v>1224</v>
      </c>
      <c r="F1769" s="74" t="s">
        <v>1226</v>
      </c>
      <c r="G1769" s="74" t="s">
        <v>1226</v>
      </c>
    </row>
    <row r="1770" spans="1:7" x14ac:dyDescent="0.2">
      <c r="A1770" s="39">
        <v>7142</v>
      </c>
      <c r="B1770" s="38" t="s">
        <v>2428</v>
      </c>
      <c r="C1770" s="39" t="s">
        <v>1748</v>
      </c>
      <c r="D1770" s="74" t="s">
        <v>1227</v>
      </c>
      <c r="E1770" s="74" t="s">
        <v>1224</v>
      </c>
      <c r="F1770" s="74" t="s">
        <v>1226</v>
      </c>
      <c r="G1770" s="74" t="s">
        <v>1226</v>
      </c>
    </row>
    <row r="1771" spans="1:7" x14ac:dyDescent="0.2">
      <c r="A1771" s="39">
        <v>7143</v>
      </c>
      <c r="B1771" s="38" t="s">
        <v>2429</v>
      </c>
      <c r="C1771" s="39" t="s">
        <v>1748</v>
      </c>
      <c r="D1771" s="74" t="s">
        <v>1227</v>
      </c>
      <c r="E1771" s="74" t="s">
        <v>1224</v>
      </c>
      <c r="F1771" s="74" t="s">
        <v>1226</v>
      </c>
      <c r="G1771" s="74" t="s">
        <v>1225</v>
      </c>
    </row>
    <row r="1772" spans="1:7" x14ac:dyDescent="0.2">
      <c r="A1772" s="39">
        <v>7151</v>
      </c>
      <c r="B1772" s="38" t="s">
        <v>2430</v>
      </c>
      <c r="C1772" s="39" t="s">
        <v>1748</v>
      </c>
      <c r="D1772" s="74" t="s">
        <v>1227</v>
      </c>
      <c r="E1772" s="74" t="s">
        <v>1224</v>
      </c>
      <c r="F1772" s="74" t="s">
        <v>1226</v>
      </c>
      <c r="G1772" s="74" t="s">
        <v>1226</v>
      </c>
    </row>
    <row r="1773" spans="1:7" x14ac:dyDescent="0.2">
      <c r="A1773" s="39">
        <v>7152</v>
      </c>
      <c r="B1773" s="38" t="s">
        <v>2431</v>
      </c>
      <c r="C1773" s="39" t="s">
        <v>1748</v>
      </c>
      <c r="D1773" s="74" t="s">
        <v>1227</v>
      </c>
      <c r="E1773" s="74" t="s">
        <v>1224</v>
      </c>
      <c r="F1773" s="74" t="s">
        <v>1226</v>
      </c>
      <c r="G1773" s="74" t="s">
        <v>1226</v>
      </c>
    </row>
    <row r="1774" spans="1:7" x14ac:dyDescent="0.2">
      <c r="A1774" s="39">
        <v>7161</v>
      </c>
      <c r="B1774" s="38" t="s">
        <v>2432</v>
      </c>
      <c r="C1774" s="39" t="s">
        <v>1748</v>
      </c>
      <c r="D1774" s="74" t="s">
        <v>1227</v>
      </c>
      <c r="E1774" s="74" t="s">
        <v>1224</v>
      </c>
      <c r="F1774" s="74" t="s">
        <v>1226</v>
      </c>
      <c r="G1774" s="74" t="s">
        <v>1225</v>
      </c>
    </row>
    <row r="1775" spans="1:7" x14ac:dyDescent="0.2">
      <c r="A1775" s="39">
        <v>7162</v>
      </c>
      <c r="B1775" s="38" t="s">
        <v>2433</v>
      </c>
      <c r="C1775" s="39" t="s">
        <v>1748</v>
      </c>
      <c r="D1775" s="74" t="s">
        <v>1227</v>
      </c>
      <c r="E1775" s="74" t="s">
        <v>1224</v>
      </c>
      <c r="F1775" s="74" t="s">
        <v>1226</v>
      </c>
      <c r="G1775" s="74" t="s">
        <v>1225</v>
      </c>
    </row>
    <row r="1776" spans="1:7" x14ac:dyDescent="0.2">
      <c r="A1776" s="39">
        <v>7163</v>
      </c>
      <c r="B1776" s="38" t="s">
        <v>2434</v>
      </c>
      <c r="C1776" s="39" t="s">
        <v>1748</v>
      </c>
      <c r="D1776" s="74" t="s">
        <v>1227</v>
      </c>
      <c r="E1776" s="74" t="s">
        <v>1224</v>
      </c>
      <c r="F1776" s="74" t="s">
        <v>1226</v>
      </c>
      <c r="G1776" s="74" t="s">
        <v>1226</v>
      </c>
    </row>
    <row r="1777" spans="1:7" x14ac:dyDescent="0.2">
      <c r="A1777" s="39">
        <v>7201</v>
      </c>
      <c r="B1777" s="38" t="s">
        <v>2435</v>
      </c>
      <c r="C1777" s="39" t="s">
        <v>1748</v>
      </c>
      <c r="D1777" s="74" t="s">
        <v>1227</v>
      </c>
      <c r="E1777" s="74" t="s">
        <v>1224</v>
      </c>
      <c r="F1777" s="74" t="s">
        <v>1226</v>
      </c>
      <c r="G1777" s="74" t="s">
        <v>1226</v>
      </c>
    </row>
    <row r="1778" spans="1:7" x14ac:dyDescent="0.2">
      <c r="A1778" s="39">
        <v>7202</v>
      </c>
      <c r="B1778" s="38" t="s">
        <v>2436</v>
      </c>
      <c r="C1778" s="39" t="s">
        <v>1748</v>
      </c>
      <c r="D1778" s="74" t="s">
        <v>1227</v>
      </c>
      <c r="E1778" s="74" t="s">
        <v>1224</v>
      </c>
      <c r="F1778" s="74" t="s">
        <v>1226</v>
      </c>
      <c r="G1778" s="74" t="s">
        <v>1226</v>
      </c>
    </row>
    <row r="1779" spans="1:7" x14ac:dyDescent="0.2">
      <c r="A1779" s="39">
        <v>7203</v>
      </c>
      <c r="B1779" s="38" t="s">
        <v>2437</v>
      </c>
      <c r="C1779" s="39" t="s">
        <v>1748</v>
      </c>
      <c r="D1779" s="74" t="s">
        <v>1227</v>
      </c>
      <c r="E1779" s="74" t="s">
        <v>1224</v>
      </c>
      <c r="F1779" s="74" t="s">
        <v>1226</v>
      </c>
      <c r="G1779" s="74" t="s">
        <v>1225</v>
      </c>
    </row>
    <row r="1780" spans="1:7" x14ac:dyDescent="0.2">
      <c r="A1780" s="39">
        <v>7210</v>
      </c>
      <c r="B1780" s="38" t="s">
        <v>2438</v>
      </c>
      <c r="C1780" s="39" t="s">
        <v>1748</v>
      </c>
      <c r="D1780" s="74" t="s">
        <v>1227</v>
      </c>
      <c r="E1780" s="74" t="s">
        <v>1224</v>
      </c>
      <c r="F1780" s="74" t="s">
        <v>1226</v>
      </c>
      <c r="G1780" s="74" t="s">
        <v>1226</v>
      </c>
    </row>
    <row r="1781" spans="1:7" x14ac:dyDescent="0.2">
      <c r="A1781" s="39">
        <v>7212</v>
      </c>
      <c r="B1781" s="38" t="s">
        <v>2439</v>
      </c>
      <c r="C1781" s="39" t="s">
        <v>1748</v>
      </c>
      <c r="D1781" s="74" t="s">
        <v>1227</v>
      </c>
      <c r="E1781" s="74" t="s">
        <v>1224</v>
      </c>
      <c r="F1781" s="74" t="s">
        <v>1226</v>
      </c>
      <c r="G1781" s="74" t="s">
        <v>1225</v>
      </c>
    </row>
    <row r="1782" spans="1:7" x14ac:dyDescent="0.2">
      <c r="A1782" s="39">
        <v>7221</v>
      </c>
      <c r="B1782" s="38" t="s">
        <v>2440</v>
      </c>
      <c r="C1782" s="39" t="s">
        <v>1748</v>
      </c>
      <c r="D1782" s="74" t="s">
        <v>1227</v>
      </c>
      <c r="E1782" s="74" t="s">
        <v>1224</v>
      </c>
      <c r="F1782" s="74" t="s">
        <v>1226</v>
      </c>
      <c r="G1782" s="74" t="s">
        <v>1225</v>
      </c>
    </row>
    <row r="1783" spans="1:7" x14ac:dyDescent="0.2">
      <c r="A1783" s="39">
        <v>7222</v>
      </c>
      <c r="B1783" s="38" t="s">
        <v>2441</v>
      </c>
      <c r="C1783" s="39" t="s">
        <v>1748</v>
      </c>
      <c r="D1783" s="74" t="s">
        <v>1227</v>
      </c>
      <c r="E1783" s="74" t="s">
        <v>1224</v>
      </c>
      <c r="F1783" s="74" t="s">
        <v>1226</v>
      </c>
      <c r="G1783" s="74" t="s">
        <v>1226</v>
      </c>
    </row>
    <row r="1784" spans="1:7" x14ac:dyDescent="0.2">
      <c r="A1784" s="39">
        <v>7223</v>
      </c>
      <c r="B1784" s="38" t="s">
        <v>2442</v>
      </c>
      <c r="C1784" s="39" t="s">
        <v>1748</v>
      </c>
      <c r="D1784" s="74" t="s">
        <v>1227</v>
      </c>
      <c r="E1784" s="74" t="s">
        <v>1224</v>
      </c>
      <c r="F1784" s="74" t="s">
        <v>1226</v>
      </c>
      <c r="G1784" s="74" t="s">
        <v>1225</v>
      </c>
    </row>
    <row r="1785" spans="1:7" x14ac:dyDescent="0.2">
      <c r="A1785" s="39">
        <v>7301</v>
      </c>
      <c r="B1785" s="38" t="s">
        <v>2443</v>
      </c>
      <c r="C1785" s="39" t="s">
        <v>1748</v>
      </c>
      <c r="D1785" s="74" t="s">
        <v>1227</v>
      </c>
      <c r="E1785" s="74" t="s">
        <v>1224</v>
      </c>
      <c r="F1785" s="74" t="s">
        <v>1226</v>
      </c>
      <c r="G1785" s="74" t="s">
        <v>1226</v>
      </c>
    </row>
    <row r="1786" spans="1:7" x14ac:dyDescent="0.2">
      <c r="A1786" s="39">
        <v>7302</v>
      </c>
      <c r="B1786" s="38" t="s">
        <v>2444</v>
      </c>
      <c r="C1786" s="39" t="s">
        <v>1748</v>
      </c>
      <c r="D1786" s="74" t="s">
        <v>1227</v>
      </c>
      <c r="E1786" s="74" t="s">
        <v>1224</v>
      </c>
      <c r="F1786" s="74" t="s">
        <v>1226</v>
      </c>
      <c r="G1786" s="74" t="s">
        <v>1225</v>
      </c>
    </row>
    <row r="1787" spans="1:7" x14ac:dyDescent="0.2">
      <c r="A1787" s="39">
        <v>7304</v>
      </c>
      <c r="B1787" s="38" t="s">
        <v>2445</v>
      </c>
      <c r="C1787" s="39" t="s">
        <v>1748</v>
      </c>
      <c r="D1787" s="74" t="s">
        <v>1227</v>
      </c>
      <c r="E1787" s="74" t="s">
        <v>1224</v>
      </c>
      <c r="F1787" s="74" t="s">
        <v>1226</v>
      </c>
      <c r="G1787" s="74" t="s">
        <v>1225</v>
      </c>
    </row>
    <row r="1788" spans="1:7" x14ac:dyDescent="0.2">
      <c r="A1788" s="39">
        <v>7311</v>
      </c>
      <c r="B1788" s="38" t="s">
        <v>2446</v>
      </c>
      <c r="C1788" s="39" t="s">
        <v>1748</v>
      </c>
      <c r="D1788" s="74" t="s">
        <v>1227</v>
      </c>
      <c r="E1788" s="74" t="s">
        <v>1224</v>
      </c>
      <c r="F1788" s="74" t="s">
        <v>1226</v>
      </c>
      <c r="G1788" s="74" t="s">
        <v>1225</v>
      </c>
    </row>
    <row r="1789" spans="1:7" x14ac:dyDescent="0.2">
      <c r="A1789" s="39">
        <v>7312</v>
      </c>
      <c r="B1789" s="38" t="s">
        <v>2447</v>
      </c>
      <c r="C1789" s="39" t="s">
        <v>1748</v>
      </c>
      <c r="D1789" s="74" t="s">
        <v>1227</v>
      </c>
      <c r="E1789" s="74" t="s">
        <v>1224</v>
      </c>
      <c r="F1789" s="74" t="s">
        <v>1226</v>
      </c>
      <c r="G1789" s="74" t="s">
        <v>1226</v>
      </c>
    </row>
    <row r="1790" spans="1:7" x14ac:dyDescent="0.2">
      <c r="A1790" s="39">
        <v>7321</v>
      </c>
      <c r="B1790" s="38" t="s">
        <v>2448</v>
      </c>
      <c r="C1790" s="39" t="s">
        <v>1748</v>
      </c>
      <c r="D1790" s="74" t="s">
        <v>1227</v>
      </c>
      <c r="E1790" s="74" t="s">
        <v>1224</v>
      </c>
      <c r="F1790" s="74" t="s">
        <v>1226</v>
      </c>
      <c r="G1790" s="74" t="s">
        <v>1226</v>
      </c>
    </row>
    <row r="1791" spans="1:7" x14ac:dyDescent="0.2">
      <c r="A1791" s="39">
        <v>7322</v>
      </c>
      <c r="B1791" s="38" t="s">
        <v>2449</v>
      </c>
      <c r="C1791" s="39" t="s">
        <v>1748</v>
      </c>
      <c r="D1791" s="74" t="s">
        <v>1227</v>
      </c>
      <c r="E1791" s="74" t="s">
        <v>1224</v>
      </c>
      <c r="F1791" s="74" t="s">
        <v>1226</v>
      </c>
      <c r="G1791" s="74" t="s">
        <v>1225</v>
      </c>
    </row>
    <row r="1792" spans="1:7" x14ac:dyDescent="0.2">
      <c r="A1792" s="39">
        <v>7323</v>
      </c>
      <c r="B1792" s="38" t="s">
        <v>2450</v>
      </c>
      <c r="C1792" s="39" t="s">
        <v>1748</v>
      </c>
      <c r="D1792" s="74" t="s">
        <v>1227</v>
      </c>
      <c r="E1792" s="74" t="s">
        <v>1224</v>
      </c>
      <c r="F1792" s="74" t="s">
        <v>1226</v>
      </c>
      <c r="G1792" s="74" t="s">
        <v>1225</v>
      </c>
    </row>
    <row r="1793" spans="1:7" x14ac:dyDescent="0.2">
      <c r="A1793" s="39">
        <v>7331</v>
      </c>
      <c r="B1793" s="38" t="s">
        <v>2451</v>
      </c>
      <c r="C1793" s="39" t="s">
        <v>1748</v>
      </c>
      <c r="D1793" s="74" t="s">
        <v>1227</v>
      </c>
      <c r="E1793" s="74" t="s">
        <v>1224</v>
      </c>
      <c r="F1793" s="74" t="s">
        <v>1226</v>
      </c>
      <c r="G1793" s="74" t="s">
        <v>1226</v>
      </c>
    </row>
    <row r="1794" spans="1:7" x14ac:dyDescent="0.2">
      <c r="A1794" s="39">
        <v>7332</v>
      </c>
      <c r="B1794" s="38" t="s">
        <v>2452</v>
      </c>
      <c r="C1794" s="39" t="s">
        <v>1748</v>
      </c>
      <c r="D1794" s="74" t="s">
        <v>1227</v>
      </c>
      <c r="E1794" s="74" t="s">
        <v>1224</v>
      </c>
      <c r="F1794" s="74" t="s">
        <v>1226</v>
      </c>
      <c r="G1794" s="74" t="s">
        <v>1226</v>
      </c>
    </row>
    <row r="1795" spans="1:7" x14ac:dyDescent="0.2">
      <c r="A1795" s="39">
        <v>7341</v>
      </c>
      <c r="B1795" s="38" t="s">
        <v>2453</v>
      </c>
      <c r="C1795" s="39" t="s">
        <v>1748</v>
      </c>
      <c r="D1795" s="74" t="s">
        <v>1227</v>
      </c>
      <c r="E1795" s="74" t="s">
        <v>1224</v>
      </c>
      <c r="F1795" s="74" t="s">
        <v>1226</v>
      </c>
      <c r="G1795" s="74" t="s">
        <v>1225</v>
      </c>
    </row>
    <row r="1796" spans="1:7" x14ac:dyDescent="0.2">
      <c r="A1796" s="39">
        <v>7342</v>
      </c>
      <c r="B1796" s="38" t="s">
        <v>2454</v>
      </c>
      <c r="C1796" s="39" t="s">
        <v>1748</v>
      </c>
      <c r="D1796" s="74" t="s">
        <v>1227</v>
      </c>
      <c r="E1796" s="74" t="s">
        <v>1224</v>
      </c>
      <c r="F1796" s="74" t="s">
        <v>1226</v>
      </c>
      <c r="G1796" s="74" t="s">
        <v>1225</v>
      </c>
    </row>
    <row r="1797" spans="1:7" x14ac:dyDescent="0.2">
      <c r="A1797" s="39">
        <v>7343</v>
      </c>
      <c r="B1797" s="38" t="s">
        <v>2455</v>
      </c>
      <c r="C1797" s="39" t="s">
        <v>1748</v>
      </c>
      <c r="D1797" s="74" t="s">
        <v>1227</v>
      </c>
      <c r="E1797" s="74" t="s">
        <v>1224</v>
      </c>
      <c r="F1797" s="74" t="s">
        <v>1226</v>
      </c>
      <c r="G1797" s="74" t="s">
        <v>1225</v>
      </c>
    </row>
    <row r="1798" spans="1:7" x14ac:dyDescent="0.2">
      <c r="A1798" s="39">
        <v>7344</v>
      </c>
      <c r="B1798" s="38" t="s">
        <v>2456</v>
      </c>
      <c r="C1798" s="39" t="s">
        <v>1748</v>
      </c>
      <c r="D1798" s="74" t="s">
        <v>1227</v>
      </c>
      <c r="E1798" s="74" t="s">
        <v>1224</v>
      </c>
      <c r="F1798" s="74" t="s">
        <v>1226</v>
      </c>
      <c r="G1798" s="74" t="s">
        <v>1225</v>
      </c>
    </row>
    <row r="1799" spans="1:7" x14ac:dyDescent="0.2">
      <c r="A1799" s="39">
        <v>7350</v>
      </c>
      <c r="B1799" s="38" t="s">
        <v>2457</v>
      </c>
      <c r="C1799" s="39" t="s">
        <v>1748</v>
      </c>
      <c r="D1799" s="74" t="s">
        <v>1227</v>
      </c>
      <c r="E1799" s="74" t="s">
        <v>1224</v>
      </c>
      <c r="F1799" s="74" t="s">
        <v>1226</v>
      </c>
      <c r="G1799" s="74" t="s">
        <v>1226</v>
      </c>
    </row>
    <row r="1800" spans="1:7" x14ac:dyDescent="0.2">
      <c r="A1800" s="39">
        <v>7361</v>
      </c>
      <c r="B1800" s="38" t="s">
        <v>2458</v>
      </c>
      <c r="C1800" s="39" t="s">
        <v>1748</v>
      </c>
      <c r="D1800" s="74" t="s">
        <v>1227</v>
      </c>
      <c r="E1800" s="74" t="s">
        <v>1224</v>
      </c>
      <c r="F1800" s="74" t="s">
        <v>1226</v>
      </c>
      <c r="G1800" s="74" t="s">
        <v>1225</v>
      </c>
    </row>
    <row r="1801" spans="1:7" x14ac:dyDescent="0.2">
      <c r="A1801" s="39">
        <v>7371</v>
      </c>
      <c r="B1801" s="38" t="s">
        <v>2459</v>
      </c>
      <c r="C1801" s="39" t="s">
        <v>1748</v>
      </c>
      <c r="D1801" s="74" t="s">
        <v>1227</v>
      </c>
      <c r="E1801" s="74" t="s">
        <v>1224</v>
      </c>
      <c r="F1801" s="74" t="s">
        <v>1226</v>
      </c>
      <c r="G1801" s="74" t="s">
        <v>1226</v>
      </c>
    </row>
    <row r="1802" spans="1:7" x14ac:dyDescent="0.2">
      <c r="A1802" s="39">
        <v>7372</v>
      </c>
      <c r="B1802" s="38" t="s">
        <v>2460</v>
      </c>
      <c r="C1802" s="39" t="s">
        <v>1748</v>
      </c>
      <c r="D1802" s="74" t="s">
        <v>1227</v>
      </c>
      <c r="E1802" s="74" t="s">
        <v>1224</v>
      </c>
      <c r="F1802" s="74" t="s">
        <v>1226</v>
      </c>
      <c r="G1802" s="74" t="s">
        <v>1225</v>
      </c>
    </row>
    <row r="1803" spans="1:7" x14ac:dyDescent="0.2">
      <c r="A1803" s="39">
        <v>7400</v>
      </c>
      <c r="B1803" s="38" t="s">
        <v>2463</v>
      </c>
      <c r="C1803" s="39" t="s">
        <v>1748</v>
      </c>
      <c r="D1803" s="74" t="s">
        <v>1227</v>
      </c>
      <c r="E1803" s="74" t="s">
        <v>1224</v>
      </c>
      <c r="F1803" s="74" t="s">
        <v>1226</v>
      </c>
      <c r="G1803" s="74" t="s">
        <v>1226</v>
      </c>
    </row>
    <row r="1804" spans="1:7" x14ac:dyDescent="0.2">
      <c r="A1804" s="39">
        <v>7411</v>
      </c>
      <c r="B1804" s="38" t="s">
        <v>2464</v>
      </c>
      <c r="C1804" s="39" t="s">
        <v>1748</v>
      </c>
      <c r="D1804" s="74" t="s">
        <v>1227</v>
      </c>
      <c r="E1804" s="74" t="s">
        <v>1224</v>
      </c>
      <c r="F1804" s="74" t="s">
        <v>1226</v>
      </c>
      <c r="G1804" s="74" t="s">
        <v>1226</v>
      </c>
    </row>
    <row r="1805" spans="1:7" x14ac:dyDescent="0.2">
      <c r="A1805" s="39">
        <v>7412</v>
      </c>
      <c r="B1805" s="38" t="s">
        <v>2465</v>
      </c>
      <c r="C1805" s="39" t="s">
        <v>1748</v>
      </c>
      <c r="D1805" s="74" t="s">
        <v>1227</v>
      </c>
      <c r="E1805" s="74" t="s">
        <v>1224</v>
      </c>
      <c r="F1805" s="74" t="s">
        <v>1226</v>
      </c>
      <c r="G1805" s="74" t="s">
        <v>1225</v>
      </c>
    </row>
    <row r="1806" spans="1:7" x14ac:dyDescent="0.2">
      <c r="A1806" s="39">
        <v>7421</v>
      </c>
      <c r="B1806" s="38" t="s">
        <v>2466</v>
      </c>
      <c r="C1806" s="39" t="s">
        <v>2467</v>
      </c>
      <c r="D1806" s="74" t="s">
        <v>1227</v>
      </c>
      <c r="E1806" s="74" t="s">
        <v>1224</v>
      </c>
      <c r="F1806" s="74" t="s">
        <v>1226</v>
      </c>
      <c r="G1806" s="74" t="s">
        <v>1225</v>
      </c>
    </row>
    <row r="1807" spans="1:7" x14ac:dyDescent="0.2">
      <c r="A1807" s="39">
        <v>7422</v>
      </c>
      <c r="B1807" s="38" t="s">
        <v>2468</v>
      </c>
      <c r="C1807" s="39" t="s">
        <v>1748</v>
      </c>
      <c r="D1807" s="74" t="s">
        <v>1227</v>
      </c>
      <c r="E1807" s="74" t="s">
        <v>1224</v>
      </c>
      <c r="F1807" s="74" t="s">
        <v>1226</v>
      </c>
      <c r="G1807" s="74" t="s">
        <v>1226</v>
      </c>
    </row>
    <row r="1808" spans="1:7" x14ac:dyDescent="0.2">
      <c r="A1808" s="39">
        <v>7423</v>
      </c>
      <c r="B1808" s="38" t="s">
        <v>2469</v>
      </c>
      <c r="C1808" s="39" t="s">
        <v>1748</v>
      </c>
      <c r="D1808" s="74" t="s">
        <v>1227</v>
      </c>
      <c r="E1808" s="74" t="s">
        <v>1224</v>
      </c>
      <c r="F1808" s="74" t="s">
        <v>1226</v>
      </c>
      <c r="G1808" s="74" t="s">
        <v>1226</v>
      </c>
    </row>
    <row r="1809" spans="1:7" x14ac:dyDescent="0.2">
      <c r="A1809" s="39">
        <v>7431</v>
      </c>
      <c r="B1809" s="38" t="s">
        <v>2470</v>
      </c>
      <c r="C1809" s="39" t="s">
        <v>1748</v>
      </c>
      <c r="D1809" s="74" t="s">
        <v>1227</v>
      </c>
      <c r="E1809" s="74" t="s">
        <v>1224</v>
      </c>
      <c r="F1809" s="74" t="s">
        <v>1226</v>
      </c>
      <c r="G1809" s="74" t="s">
        <v>1226</v>
      </c>
    </row>
    <row r="1810" spans="1:7" x14ac:dyDescent="0.2">
      <c r="A1810" s="39">
        <v>7432</v>
      </c>
      <c r="B1810" s="38" t="s">
        <v>2471</v>
      </c>
      <c r="C1810" s="39" t="s">
        <v>1748</v>
      </c>
      <c r="D1810" s="74" t="s">
        <v>1227</v>
      </c>
      <c r="E1810" s="74" t="s">
        <v>1224</v>
      </c>
      <c r="F1810" s="74" t="s">
        <v>1226</v>
      </c>
      <c r="G1810" s="74" t="s">
        <v>1226</v>
      </c>
    </row>
    <row r="1811" spans="1:7" x14ac:dyDescent="0.2">
      <c r="A1811" s="39">
        <v>7433</v>
      </c>
      <c r="B1811" s="38" t="s">
        <v>2473</v>
      </c>
      <c r="C1811" s="39" t="s">
        <v>1748</v>
      </c>
      <c r="D1811" s="74" t="s">
        <v>1227</v>
      </c>
      <c r="E1811" s="74" t="s">
        <v>1224</v>
      </c>
      <c r="F1811" s="74" t="s">
        <v>1226</v>
      </c>
      <c r="G1811" s="74" t="s">
        <v>1225</v>
      </c>
    </row>
    <row r="1812" spans="1:7" x14ac:dyDescent="0.2">
      <c r="A1812" s="39">
        <v>7434</v>
      </c>
      <c r="B1812" s="38" t="s">
        <v>2474</v>
      </c>
      <c r="C1812" s="39" t="s">
        <v>1748</v>
      </c>
      <c r="D1812" s="74" t="s">
        <v>1227</v>
      </c>
      <c r="E1812" s="74" t="s">
        <v>1224</v>
      </c>
      <c r="F1812" s="74" t="s">
        <v>1226</v>
      </c>
      <c r="G1812" s="74" t="s">
        <v>1226</v>
      </c>
    </row>
    <row r="1813" spans="1:7" x14ac:dyDescent="0.2">
      <c r="A1813" s="39">
        <v>7435</v>
      </c>
      <c r="B1813" s="38" t="s">
        <v>2475</v>
      </c>
      <c r="C1813" s="39" t="s">
        <v>1748</v>
      </c>
      <c r="D1813" s="74" t="s">
        <v>1227</v>
      </c>
      <c r="E1813" s="74" t="s">
        <v>1224</v>
      </c>
      <c r="F1813" s="74" t="s">
        <v>1226</v>
      </c>
      <c r="G1813" s="74" t="s">
        <v>1225</v>
      </c>
    </row>
    <row r="1814" spans="1:7" x14ac:dyDescent="0.2">
      <c r="A1814" s="39">
        <v>7441</v>
      </c>
      <c r="B1814" s="38" t="s">
        <v>0</v>
      </c>
      <c r="C1814" s="39" t="s">
        <v>1748</v>
      </c>
      <c r="D1814" s="74" t="s">
        <v>1227</v>
      </c>
      <c r="E1814" s="74" t="s">
        <v>1224</v>
      </c>
      <c r="F1814" s="74" t="s">
        <v>1226</v>
      </c>
      <c r="G1814" s="74" t="s">
        <v>1225</v>
      </c>
    </row>
    <row r="1815" spans="1:7" x14ac:dyDescent="0.2">
      <c r="A1815" s="39">
        <v>7442</v>
      </c>
      <c r="B1815" s="38" t="s">
        <v>1</v>
      </c>
      <c r="C1815" s="39" t="s">
        <v>1748</v>
      </c>
      <c r="D1815" s="74" t="s">
        <v>1227</v>
      </c>
      <c r="E1815" s="74" t="s">
        <v>1224</v>
      </c>
      <c r="F1815" s="74" t="s">
        <v>1226</v>
      </c>
      <c r="G1815" s="74" t="s">
        <v>1226</v>
      </c>
    </row>
    <row r="1816" spans="1:7" x14ac:dyDescent="0.2">
      <c r="A1816" s="39">
        <v>7443</v>
      </c>
      <c r="B1816" s="38" t="s">
        <v>2</v>
      </c>
      <c r="C1816" s="39" t="s">
        <v>1748</v>
      </c>
      <c r="D1816" s="74" t="s">
        <v>1227</v>
      </c>
      <c r="E1816" s="74" t="s">
        <v>1224</v>
      </c>
      <c r="F1816" s="74" t="s">
        <v>1226</v>
      </c>
      <c r="G1816" s="74" t="s">
        <v>1225</v>
      </c>
    </row>
    <row r="1817" spans="1:7" x14ac:dyDescent="0.2">
      <c r="A1817" s="39">
        <v>7444</v>
      </c>
      <c r="B1817" s="38" t="s">
        <v>3</v>
      </c>
      <c r="C1817" s="39" t="s">
        <v>1748</v>
      </c>
      <c r="D1817" s="74" t="s">
        <v>1227</v>
      </c>
      <c r="E1817" s="74" t="s">
        <v>1224</v>
      </c>
      <c r="F1817" s="74" t="s">
        <v>1226</v>
      </c>
      <c r="G1817" s="74" t="s">
        <v>1225</v>
      </c>
    </row>
    <row r="1818" spans="1:7" x14ac:dyDescent="0.2">
      <c r="A1818" s="39">
        <v>7451</v>
      </c>
      <c r="B1818" s="38" t="s">
        <v>4</v>
      </c>
      <c r="C1818" s="39" t="s">
        <v>1748</v>
      </c>
      <c r="D1818" s="74" t="s">
        <v>1227</v>
      </c>
      <c r="E1818" s="74" t="s">
        <v>1224</v>
      </c>
      <c r="F1818" s="74" t="s">
        <v>1226</v>
      </c>
      <c r="G1818" s="74" t="s">
        <v>1225</v>
      </c>
    </row>
    <row r="1819" spans="1:7" x14ac:dyDescent="0.2">
      <c r="A1819" s="39">
        <v>7452</v>
      </c>
      <c r="B1819" s="38" t="s">
        <v>5</v>
      </c>
      <c r="C1819" s="39" t="s">
        <v>1748</v>
      </c>
      <c r="D1819" s="74" t="s">
        <v>1227</v>
      </c>
      <c r="E1819" s="74" t="s">
        <v>1224</v>
      </c>
      <c r="F1819" s="74" t="s">
        <v>1226</v>
      </c>
      <c r="G1819" s="74" t="s">
        <v>1225</v>
      </c>
    </row>
    <row r="1820" spans="1:7" x14ac:dyDescent="0.2">
      <c r="A1820" s="39">
        <v>7453</v>
      </c>
      <c r="B1820" s="38" t="s">
        <v>6</v>
      </c>
      <c r="C1820" s="39" t="s">
        <v>1748</v>
      </c>
      <c r="D1820" s="74" t="s">
        <v>1227</v>
      </c>
      <c r="E1820" s="74" t="s">
        <v>1224</v>
      </c>
      <c r="F1820" s="74" t="s">
        <v>1226</v>
      </c>
      <c r="G1820" s="74" t="s">
        <v>1225</v>
      </c>
    </row>
    <row r="1821" spans="1:7" x14ac:dyDescent="0.2">
      <c r="A1821" s="39">
        <v>7461</v>
      </c>
      <c r="B1821" s="38" t="s">
        <v>7</v>
      </c>
      <c r="C1821" s="39" t="s">
        <v>1748</v>
      </c>
      <c r="D1821" s="74" t="s">
        <v>1227</v>
      </c>
      <c r="E1821" s="74" t="s">
        <v>1224</v>
      </c>
      <c r="F1821" s="74" t="s">
        <v>1226</v>
      </c>
      <c r="G1821" s="74" t="s">
        <v>1226</v>
      </c>
    </row>
    <row r="1822" spans="1:7" x14ac:dyDescent="0.2">
      <c r="A1822" s="39">
        <v>7463</v>
      </c>
      <c r="B1822" s="38" t="s">
        <v>8</v>
      </c>
      <c r="C1822" s="39" t="s">
        <v>1748</v>
      </c>
      <c r="D1822" s="74" t="s">
        <v>1227</v>
      </c>
      <c r="E1822" s="74" t="s">
        <v>1224</v>
      </c>
      <c r="F1822" s="74" t="s">
        <v>1226</v>
      </c>
      <c r="G1822" s="74" t="s">
        <v>1225</v>
      </c>
    </row>
    <row r="1823" spans="1:7" x14ac:dyDescent="0.2">
      <c r="A1823" s="39">
        <v>7464</v>
      </c>
      <c r="B1823" s="38" t="s">
        <v>9</v>
      </c>
      <c r="C1823" s="39" t="s">
        <v>1748</v>
      </c>
      <c r="D1823" s="74" t="s">
        <v>1227</v>
      </c>
      <c r="E1823" s="74" t="s">
        <v>1224</v>
      </c>
      <c r="F1823" s="74" t="s">
        <v>1226</v>
      </c>
      <c r="G1823" s="74" t="s">
        <v>1225</v>
      </c>
    </row>
    <row r="1824" spans="1:7" x14ac:dyDescent="0.2">
      <c r="A1824" s="39">
        <v>7471</v>
      </c>
      <c r="B1824" s="38" t="s">
        <v>10</v>
      </c>
      <c r="C1824" s="39" t="s">
        <v>1748</v>
      </c>
      <c r="D1824" s="74" t="s">
        <v>1227</v>
      </c>
      <c r="E1824" s="74" t="s">
        <v>1224</v>
      </c>
      <c r="F1824" s="74" t="s">
        <v>1226</v>
      </c>
      <c r="G1824" s="74" t="s">
        <v>1226</v>
      </c>
    </row>
    <row r="1825" spans="1:7" x14ac:dyDescent="0.2">
      <c r="A1825" s="39">
        <v>7472</v>
      </c>
      <c r="B1825" s="38" t="s">
        <v>11</v>
      </c>
      <c r="C1825" s="39" t="s">
        <v>1748</v>
      </c>
      <c r="D1825" s="74" t="s">
        <v>1227</v>
      </c>
      <c r="E1825" s="74" t="s">
        <v>1224</v>
      </c>
      <c r="F1825" s="74" t="s">
        <v>1226</v>
      </c>
      <c r="G1825" s="74" t="s">
        <v>1225</v>
      </c>
    </row>
    <row r="1826" spans="1:7" x14ac:dyDescent="0.2">
      <c r="A1826" s="39">
        <v>7473</v>
      </c>
      <c r="B1826" s="38" t="s">
        <v>12</v>
      </c>
      <c r="C1826" s="39" t="s">
        <v>1748</v>
      </c>
      <c r="D1826" s="74" t="s">
        <v>1227</v>
      </c>
      <c r="E1826" s="74" t="s">
        <v>1224</v>
      </c>
      <c r="F1826" s="74" t="s">
        <v>1226</v>
      </c>
      <c r="G1826" s="74" t="s">
        <v>1225</v>
      </c>
    </row>
    <row r="1827" spans="1:7" x14ac:dyDescent="0.2">
      <c r="A1827" s="39">
        <v>7474</v>
      </c>
      <c r="B1827" s="38" t="s">
        <v>13</v>
      </c>
      <c r="C1827" s="39" t="s">
        <v>1748</v>
      </c>
      <c r="D1827" s="74" t="s">
        <v>1227</v>
      </c>
      <c r="E1827" s="74" t="s">
        <v>1224</v>
      </c>
      <c r="F1827" s="74" t="s">
        <v>1226</v>
      </c>
      <c r="G1827" s="74" t="s">
        <v>1225</v>
      </c>
    </row>
    <row r="1828" spans="1:7" x14ac:dyDescent="0.2">
      <c r="A1828" s="39">
        <v>7501</v>
      </c>
      <c r="B1828" s="38" t="s">
        <v>14</v>
      </c>
      <c r="C1828" s="39" t="s">
        <v>1748</v>
      </c>
      <c r="D1828" s="74" t="s">
        <v>1227</v>
      </c>
      <c r="E1828" s="74" t="s">
        <v>1224</v>
      </c>
      <c r="F1828" s="74" t="s">
        <v>1226</v>
      </c>
      <c r="G1828" s="74" t="s">
        <v>1226</v>
      </c>
    </row>
    <row r="1829" spans="1:7" x14ac:dyDescent="0.2">
      <c r="A1829" s="39">
        <v>7503</v>
      </c>
      <c r="B1829" s="38" t="s">
        <v>15</v>
      </c>
      <c r="C1829" s="39" t="s">
        <v>1748</v>
      </c>
      <c r="D1829" s="74" t="s">
        <v>1227</v>
      </c>
      <c r="E1829" s="74" t="s">
        <v>1224</v>
      </c>
      <c r="F1829" s="74" t="s">
        <v>1226</v>
      </c>
      <c r="G1829" s="74" t="s">
        <v>1226</v>
      </c>
    </row>
    <row r="1830" spans="1:7" x14ac:dyDescent="0.2">
      <c r="A1830" s="39">
        <v>7511</v>
      </c>
      <c r="B1830" s="38" t="s">
        <v>16</v>
      </c>
      <c r="C1830" s="39" t="s">
        <v>1748</v>
      </c>
      <c r="D1830" s="74" t="s">
        <v>1227</v>
      </c>
      <c r="E1830" s="74" t="s">
        <v>1224</v>
      </c>
      <c r="F1830" s="74" t="s">
        <v>1226</v>
      </c>
      <c r="G1830" s="74" t="s">
        <v>1225</v>
      </c>
    </row>
    <row r="1831" spans="1:7" x14ac:dyDescent="0.2">
      <c r="A1831" s="39">
        <v>7512</v>
      </c>
      <c r="B1831" s="38" t="s">
        <v>17</v>
      </c>
      <c r="C1831" s="39" t="s">
        <v>1748</v>
      </c>
      <c r="D1831" s="74" t="s">
        <v>1227</v>
      </c>
      <c r="E1831" s="74" t="s">
        <v>1224</v>
      </c>
      <c r="F1831" s="74" t="s">
        <v>1226</v>
      </c>
      <c r="G1831" s="74" t="s">
        <v>1225</v>
      </c>
    </row>
    <row r="1832" spans="1:7" x14ac:dyDescent="0.2">
      <c r="A1832" s="39">
        <v>7521</v>
      </c>
      <c r="B1832" s="38" t="s">
        <v>18</v>
      </c>
      <c r="C1832" s="39" t="s">
        <v>1748</v>
      </c>
      <c r="D1832" s="74" t="s">
        <v>1227</v>
      </c>
      <c r="E1832" s="74" t="s">
        <v>1224</v>
      </c>
      <c r="F1832" s="74" t="s">
        <v>1226</v>
      </c>
      <c r="G1832" s="74" t="s">
        <v>1225</v>
      </c>
    </row>
    <row r="1833" spans="1:7" x14ac:dyDescent="0.2">
      <c r="A1833" s="39">
        <v>7522</v>
      </c>
      <c r="B1833" s="38" t="s">
        <v>19</v>
      </c>
      <c r="C1833" s="39" t="s">
        <v>1748</v>
      </c>
      <c r="D1833" s="74" t="s">
        <v>1227</v>
      </c>
      <c r="E1833" s="74" t="s">
        <v>1224</v>
      </c>
      <c r="F1833" s="74" t="s">
        <v>1226</v>
      </c>
      <c r="G1833" s="74" t="s">
        <v>1225</v>
      </c>
    </row>
    <row r="1834" spans="1:7" x14ac:dyDescent="0.2">
      <c r="A1834" s="39">
        <v>7531</v>
      </c>
      <c r="B1834" s="38" t="s">
        <v>20</v>
      </c>
      <c r="C1834" s="39" t="s">
        <v>1748</v>
      </c>
      <c r="D1834" s="74" t="s">
        <v>1227</v>
      </c>
      <c r="E1834" s="74" t="s">
        <v>1224</v>
      </c>
      <c r="F1834" s="74" t="s">
        <v>1226</v>
      </c>
      <c r="G1834" s="74" t="s">
        <v>1226</v>
      </c>
    </row>
    <row r="1835" spans="1:7" x14ac:dyDescent="0.2">
      <c r="A1835" s="39">
        <v>7532</v>
      </c>
      <c r="B1835" s="38" t="s">
        <v>21</v>
      </c>
      <c r="C1835" s="39" t="s">
        <v>1748</v>
      </c>
      <c r="D1835" s="74" t="s">
        <v>1227</v>
      </c>
      <c r="E1835" s="74" t="s">
        <v>1224</v>
      </c>
      <c r="F1835" s="74" t="s">
        <v>1226</v>
      </c>
      <c r="G1835" s="74" t="s">
        <v>1225</v>
      </c>
    </row>
    <row r="1836" spans="1:7" x14ac:dyDescent="0.2">
      <c r="A1836" s="39">
        <v>7533</v>
      </c>
      <c r="B1836" s="38" t="s">
        <v>22</v>
      </c>
      <c r="C1836" s="39" t="s">
        <v>1748</v>
      </c>
      <c r="D1836" s="74" t="s">
        <v>1227</v>
      </c>
      <c r="E1836" s="74" t="s">
        <v>1224</v>
      </c>
      <c r="F1836" s="74" t="s">
        <v>1226</v>
      </c>
      <c r="G1836" s="74" t="s">
        <v>1225</v>
      </c>
    </row>
    <row r="1837" spans="1:7" x14ac:dyDescent="0.2">
      <c r="A1837" s="39">
        <v>7534</v>
      </c>
      <c r="B1837" s="38" t="s">
        <v>23</v>
      </c>
      <c r="C1837" s="39" t="s">
        <v>1748</v>
      </c>
      <c r="D1837" s="74" t="s">
        <v>1227</v>
      </c>
      <c r="E1837" s="74" t="s">
        <v>1224</v>
      </c>
      <c r="F1837" s="74" t="s">
        <v>1226</v>
      </c>
      <c r="G1837" s="74" t="s">
        <v>1225</v>
      </c>
    </row>
    <row r="1838" spans="1:7" x14ac:dyDescent="0.2">
      <c r="A1838" s="39">
        <v>7535</v>
      </c>
      <c r="B1838" s="38" t="s">
        <v>24</v>
      </c>
      <c r="C1838" s="39" t="s">
        <v>1748</v>
      </c>
      <c r="D1838" s="74" t="s">
        <v>1227</v>
      </c>
      <c r="E1838" s="74" t="s">
        <v>1224</v>
      </c>
      <c r="F1838" s="74" t="s">
        <v>1226</v>
      </c>
      <c r="G1838" s="74" t="s">
        <v>1226</v>
      </c>
    </row>
    <row r="1839" spans="1:7" x14ac:dyDescent="0.2">
      <c r="A1839" s="39">
        <v>7540</v>
      </c>
      <c r="B1839" s="38" t="s">
        <v>25</v>
      </c>
      <c r="C1839" s="39" t="s">
        <v>1748</v>
      </c>
      <c r="D1839" s="74" t="s">
        <v>1227</v>
      </c>
      <c r="E1839" s="74" t="s">
        <v>1224</v>
      </c>
      <c r="F1839" s="74" t="s">
        <v>1226</v>
      </c>
      <c r="G1839" s="74" t="s">
        <v>1226</v>
      </c>
    </row>
    <row r="1840" spans="1:7" x14ac:dyDescent="0.2">
      <c r="A1840" s="39">
        <v>7542</v>
      </c>
      <c r="B1840" s="38" t="s">
        <v>26</v>
      </c>
      <c r="C1840" s="39" t="s">
        <v>1748</v>
      </c>
      <c r="D1840" s="74" t="s">
        <v>1227</v>
      </c>
      <c r="E1840" s="74" t="s">
        <v>1224</v>
      </c>
      <c r="F1840" s="74" t="s">
        <v>1226</v>
      </c>
      <c r="G1840" s="74" t="s">
        <v>1225</v>
      </c>
    </row>
    <row r="1841" spans="1:7" x14ac:dyDescent="0.2">
      <c r="A1841" s="39">
        <v>7543</v>
      </c>
      <c r="B1841" s="38" t="s">
        <v>27</v>
      </c>
      <c r="C1841" s="39" t="s">
        <v>1748</v>
      </c>
      <c r="D1841" s="74" t="s">
        <v>1227</v>
      </c>
      <c r="E1841" s="74" t="s">
        <v>1224</v>
      </c>
      <c r="F1841" s="74" t="s">
        <v>1226</v>
      </c>
      <c r="G1841" s="74" t="s">
        <v>1225</v>
      </c>
    </row>
    <row r="1842" spans="1:7" x14ac:dyDescent="0.2">
      <c r="A1842" s="39">
        <v>7551</v>
      </c>
      <c r="B1842" s="38" t="s">
        <v>28</v>
      </c>
      <c r="C1842" s="39" t="s">
        <v>1748</v>
      </c>
      <c r="D1842" s="74" t="s">
        <v>1227</v>
      </c>
      <c r="E1842" s="74" t="s">
        <v>1224</v>
      </c>
      <c r="F1842" s="74" t="s">
        <v>1226</v>
      </c>
      <c r="G1842" s="74" t="s">
        <v>1226</v>
      </c>
    </row>
    <row r="1843" spans="1:7" x14ac:dyDescent="0.2">
      <c r="A1843" s="39">
        <v>7552</v>
      </c>
      <c r="B1843" s="38" t="s">
        <v>29</v>
      </c>
      <c r="C1843" s="39" t="s">
        <v>1748</v>
      </c>
      <c r="D1843" s="74" t="s">
        <v>1227</v>
      </c>
      <c r="E1843" s="74" t="s">
        <v>1224</v>
      </c>
      <c r="F1843" s="74" t="s">
        <v>1226</v>
      </c>
      <c r="G1843" s="74" t="s">
        <v>1225</v>
      </c>
    </row>
    <row r="1844" spans="1:7" x14ac:dyDescent="0.2">
      <c r="A1844" s="39">
        <v>7561</v>
      </c>
      <c r="B1844" s="38" t="s">
        <v>30</v>
      </c>
      <c r="C1844" s="39" t="s">
        <v>1748</v>
      </c>
      <c r="D1844" s="74" t="s">
        <v>1227</v>
      </c>
      <c r="E1844" s="74" t="s">
        <v>1224</v>
      </c>
      <c r="F1844" s="74" t="s">
        <v>1226</v>
      </c>
      <c r="G1844" s="74" t="s">
        <v>1226</v>
      </c>
    </row>
    <row r="1845" spans="1:7" x14ac:dyDescent="0.2">
      <c r="A1845" s="39">
        <v>7562</v>
      </c>
      <c r="B1845" s="38" t="s">
        <v>31</v>
      </c>
      <c r="C1845" s="39" t="s">
        <v>1748</v>
      </c>
      <c r="D1845" s="74" t="s">
        <v>1227</v>
      </c>
      <c r="E1845" s="74" t="s">
        <v>1224</v>
      </c>
      <c r="F1845" s="74" t="s">
        <v>1226</v>
      </c>
      <c r="G1845" s="74" t="s">
        <v>1225</v>
      </c>
    </row>
    <row r="1846" spans="1:7" x14ac:dyDescent="0.2">
      <c r="A1846" s="39">
        <v>7563</v>
      </c>
      <c r="B1846" s="38" t="s">
        <v>32</v>
      </c>
      <c r="C1846" s="39" t="s">
        <v>1748</v>
      </c>
      <c r="D1846" s="74" t="s">
        <v>1227</v>
      </c>
      <c r="E1846" s="74" t="s">
        <v>1224</v>
      </c>
      <c r="F1846" s="74" t="s">
        <v>1226</v>
      </c>
      <c r="G1846" s="74" t="s">
        <v>1225</v>
      </c>
    </row>
    <row r="1847" spans="1:7" x14ac:dyDescent="0.2">
      <c r="A1847" s="39">
        <v>7564</v>
      </c>
      <c r="B1847" s="38" t="s">
        <v>2117</v>
      </c>
      <c r="C1847" s="39" t="s">
        <v>1748</v>
      </c>
      <c r="D1847" s="74" t="s">
        <v>1227</v>
      </c>
      <c r="E1847" s="74" t="s">
        <v>1224</v>
      </c>
      <c r="F1847" s="74" t="s">
        <v>1226</v>
      </c>
      <c r="G1847" s="74" t="s">
        <v>1225</v>
      </c>
    </row>
    <row r="1848" spans="1:7" x14ac:dyDescent="0.2">
      <c r="A1848" s="39">
        <v>7571</v>
      </c>
      <c r="B1848" s="38" t="s">
        <v>2118</v>
      </c>
      <c r="C1848" s="39" t="s">
        <v>1748</v>
      </c>
      <c r="D1848" s="74" t="s">
        <v>1227</v>
      </c>
      <c r="E1848" s="74" t="s">
        <v>1224</v>
      </c>
      <c r="F1848" s="74" t="s">
        <v>1226</v>
      </c>
      <c r="G1848" s="74" t="s">
        <v>1226</v>
      </c>
    </row>
    <row r="1849" spans="1:7" x14ac:dyDescent="0.2">
      <c r="A1849" s="39">
        <v>7572</v>
      </c>
      <c r="B1849" s="38" t="s">
        <v>2119</v>
      </c>
      <c r="C1849" s="39" t="s">
        <v>1748</v>
      </c>
      <c r="D1849" s="74" t="s">
        <v>1227</v>
      </c>
      <c r="E1849" s="74" t="s">
        <v>1224</v>
      </c>
      <c r="F1849" s="74" t="s">
        <v>1226</v>
      </c>
      <c r="G1849" s="74" t="s">
        <v>1225</v>
      </c>
    </row>
    <row r="1850" spans="1:7" x14ac:dyDescent="0.2">
      <c r="A1850" s="39">
        <v>8010</v>
      </c>
      <c r="B1850" s="38" t="s">
        <v>161</v>
      </c>
      <c r="C1850" s="39" t="s">
        <v>2467</v>
      </c>
      <c r="D1850" s="74" t="s">
        <v>1227</v>
      </c>
      <c r="E1850" s="74" t="s">
        <v>1224</v>
      </c>
      <c r="F1850" s="74" t="s">
        <v>1226</v>
      </c>
      <c r="G1850" s="74" t="s">
        <v>1226</v>
      </c>
    </row>
    <row r="1851" spans="1:7" x14ac:dyDescent="0.2">
      <c r="A1851" s="39">
        <v>8011</v>
      </c>
      <c r="B1851" s="38" t="s">
        <v>2120</v>
      </c>
      <c r="C1851" s="39" t="s">
        <v>2467</v>
      </c>
      <c r="D1851" s="74" t="s">
        <v>1229</v>
      </c>
      <c r="E1851" s="74" t="s">
        <v>1224</v>
      </c>
      <c r="F1851" s="74" t="s">
        <v>1225</v>
      </c>
      <c r="G1851" s="74" t="s">
        <v>1226</v>
      </c>
    </row>
    <row r="1852" spans="1:7" x14ac:dyDescent="0.2">
      <c r="A1852" s="39">
        <v>8013</v>
      </c>
      <c r="B1852" s="38" t="s">
        <v>161</v>
      </c>
      <c r="C1852" s="39" t="s">
        <v>2467</v>
      </c>
      <c r="D1852" s="74" t="s">
        <v>1229</v>
      </c>
      <c r="E1852" s="74" t="s">
        <v>1224</v>
      </c>
      <c r="F1852" s="74" t="s">
        <v>1225</v>
      </c>
      <c r="G1852" s="74" t="s">
        <v>1226</v>
      </c>
    </row>
    <row r="1853" spans="1:7" x14ac:dyDescent="0.2">
      <c r="A1853" s="39">
        <v>8015</v>
      </c>
      <c r="B1853" s="38" t="s">
        <v>161</v>
      </c>
      <c r="C1853" s="39" t="s">
        <v>2467</v>
      </c>
      <c r="D1853" s="74" t="s">
        <v>1229</v>
      </c>
      <c r="E1853" s="74" t="s">
        <v>1224</v>
      </c>
      <c r="F1853" s="74" t="s">
        <v>1225</v>
      </c>
      <c r="G1853" s="74" t="s">
        <v>1226</v>
      </c>
    </row>
    <row r="1854" spans="1:7" x14ac:dyDescent="0.2">
      <c r="A1854" s="39">
        <v>8016</v>
      </c>
      <c r="B1854" s="38" t="s">
        <v>161</v>
      </c>
      <c r="C1854" s="39" t="s">
        <v>2467</v>
      </c>
      <c r="D1854" s="74" t="s">
        <v>1229</v>
      </c>
      <c r="E1854" s="74" t="s">
        <v>1224</v>
      </c>
      <c r="F1854" s="74" t="s">
        <v>1225</v>
      </c>
      <c r="G1854" s="74" t="s">
        <v>1226</v>
      </c>
    </row>
    <row r="1855" spans="1:7" x14ac:dyDescent="0.2">
      <c r="A1855" s="39">
        <v>8017</v>
      </c>
      <c r="B1855" s="38" t="s">
        <v>161</v>
      </c>
      <c r="C1855" s="39" t="s">
        <v>2467</v>
      </c>
      <c r="D1855" s="74" t="s">
        <v>1229</v>
      </c>
      <c r="E1855" s="74" t="s">
        <v>1224</v>
      </c>
      <c r="F1855" s="74" t="s">
        <v>1225</v>
      </c>
      <c r="G1855" s="74" t="s">
        <v>1226</v>
      </c>
    </row>
    <row r="1856" spans="1:7" x14ac:dyDescent="0.2">
      <c r="A1856" s="39">
        <v>8018</v>
      </c>
      <c r="B1856" s="38" t="s">
        <v>161</v>
      </c>
      <c r="C1856" s="39" t="s">
        <v>2467</v>
      </c>
      <c r="D1856" s="74" t="s">
        <v>1229</v>
      </c>
      <c r="E1856" s="74" t="s">
        <v>1224</v>
      </c>
      <c r="F1856" s="74" t="s">
        <v>1225</v>
      </c>
      <c r="G1856" s="74" t="s">
        <v>1226</v>
      </c>
    </row>
    <row r="1857" spans="1:7" x14ac:dyDescent="0.2">
      <c r="A1857" s="39">
        <v>8019</v>
      </c>
      <c r="B1857" s="38" t="s">
        <v>161</v>
      </c>
      <c r="C1857" s="39" t="s">
        <v>2467</v>
      </c>
      <c r="D1857" s="74" t="s">
        <v>1229</v>
      </c>
      <c r="E1857" s="74" t="s">
        <v>1224</v>
      </c>
      <c r="F1857" s="74" t="s">
        <v>1225</v>
      </c>
      <c r="G1857" s="74" t="s">
        <v>1226</v>
      </c>
    </row>
    <row r="1858" spans="1:7" x14ac:dyDescent="0.2">
      <c r="A1858" s="39">
        <v>8020</v>
      </c>
      <c r="B1858" s="38" t="s">
        <v>161</v>
      </c>
      <c r="C1858" s="39" t="s">
        <v>2467</v>
      </c>
      <c r="D1858" s="74" t="s">
        <v>1227</v>
      </c>
      <c r="E1858" s="74" t="s">
        <v>1224</v>
      </c>
      <c r="F1858" s="74" t="s">
        <v>1226</v>
      </c>
      <c r="G1858" s="74" t="s">
        <v>1226</v>
      </c>
    </row>
    <row r="1859" spans="1:7" x14ac:dyDescent="0.2">
      <c r="A1859" s="39">
        <v>8021</v>
      </c>
      <c r="B1859" s="38" t="s">
        <v>2120</v>
      </c>
      <c r="C1859" s="39" t="s">
        <v>2467</v>
      </c>
      <c r="D1859" s="74" t="s">
        <v>1229</v>
      </c>
      <c r="E1859" s="74" t="s">
        <v>1224</v>
      </c>
      <c r="F1859" s="74" t="s">
        <v>1225</v>
      </c>
      <c r="G1859" s="74" t="s">
        <v>1226</v>
      </c>
    </row>
    <row r="1860" spans="1:7" x14ac:dyDescent="0.2">
      <c r="A1860" s="39">
        <v>8022</v>
      </c>
      <c r="B1860" s="38" t="s">
        <v>161</v>
      </c>
      <c r="C1860" s="39" t="s">
        <v>2467</v>
      </c>
      <c r="D1860" s="74" t="s">
        <v>1229</v>
      </c>
      <c r="E1860" s="74" t="s">
        <v>1224</v>
      </c>
      <c r="F1860" s="74" t="s">
        <v>1225</v>
      </c>
      <c r="G1860" s="74" t="s">
        <v>1226</v>
      </c>
    </row>
    <row r="1861" spans="1:7" x14ac:dyDescent="0.2">
      <c r="A1861" s="39">
        <v>8023</v>
      </c>
      <c r="B1861" s="38" t="s">
        <v>161</v>
      </c>
      <c r="C1861" s="39" t="s">
        <v>2467</v>
      </c>
      <c r="D1861" s="74" t="s">
        <v>1229</v>
      </c>
      <c r="E1861" s="74" t="s">
        <v>1224</v>
      </c>
      <c r="F1861" s="74" t="s">
        <v>1225</v>
      </c>
      <c r="G1861" s="74" t="s">
        <v>1226</v>
      </c>
    </row>
    <row r="1862" spans="1:7" x14ac:dyDescent="0.2">
      <c r="A1862" s="39">
        <v>8024</v>
      </c>
      <c r="B1862" s="38" t="s">
        <v>161</v>
      </c>
      <c r="C1862" s="39" t="s">
        <v>2467</v>
      </c>
      <c r="D1862" s="74" t="s">
        <v>1229</v>
      </c>
      <c r="E1862" s="74" t="s">
        <v>1224</v>
      </c>
      <c r="F1862" s="74" t="s">
        <v>1225</v>
      </c>
      <c r="G1862" s="74" t="s">
        <v>1226</v>
      </c>
    </row>
    <row r="1863" spans="1:7" x14ac:dyDescent="0.2">
      <c r="A1863" s="39">
        <v>8025</v>
      </c>
      <c r="B1863" s="38" t="s">
        <v>161</v>
      </c>
      <c r="C1863" s="39" t="s">
        <v>2467</v>
      </c>
      <c r="D1863" s="74" t="s">
        <v>1229</v>
      </c>
      <c r="E1863" s="74" t="s">
        <v>1224</v>
      </c>
      <c r="F1863" s="74" t="s">
        <v>1225</v>
      </c>
      <c r="G1863" s="74" t="s">
        <v>1226</v>
      </c>
    </row>
    <row r="1864" spans="1:7" x14ac:dyDescent="0.2">
      <c r="A1864" s="39">
        <v>8026</v>
      </c>
      <c r="B1864" s="38" t="s">
        <v>161</v>
      </c>
      <c r="C1864" s="39" t="s">
        <v>2467</v>
      </c>
      <c r="D1864" s="74" t="s">
        <v>1229</v>
      </c>
      <c r="E1864" s="74" t="s">
        <v>1224</v>
      </c>
      <c r="F1864" s="74" t="s">
        <v>1225</v>
      </c>
      <c r="G1864" s="74" t="s">
        <v>1226</v>
      </c>
    </row>
    <row r="1865" spans="1:7" x14ac:dyDescent="0.2">
      <c r="A1865" s="39">
        <v>8027</v>
      </c>
      <c r="B1865" s="38" t="s">
        <v>161</v>
      </c>
      <c r="C1865" s="39" t="s">
        <v>2467</v>
      </c>
      <c r="D1865" s="74" t="s">
        <v>1229</v>
      </c>
      <c r="E1865" s="74" t="s">
        <v>1224</v>
      </c>
      <c r="F1865" s="74" t="s">
        <v>1225</v>
      </c>
      <c r="G1865" s="74" t="s">
        <v>1226</v>
      </c>
    </row>
    <row r="1866" spans="1:7" x14ac:dyDescent="0.2">
      <c r="A1866" s="39">
        <v>8028</v>
      </c>
      <c r="B1866" s="38" t="s">
        <v>161</v>
      </c>
      <c r="C1866" s="39" t="s">
        <v>2467</v>
      </c>
      <c r="D1866" s="74" t="s">
        <v>1229</v>
      </c>
      <c r="E1866" s="74" t="s">
        <v>1224</v>
      </c>
      <c r="F1866" s="74" t="s">
        <v>1225</v>
      </c>
      <c r="G1866" s="74" t="s">
        <v>1226</v>
      </c>
    </row>
    <row r="1867" spans="1:7" x14ac:dyDescent="0.2">
      <c r="A1867" s="39">
        <v>8029</v>
      </c>
      <c r="B1867" s="38" t="s">
        <v>161</v>
      </c>
      <c r="C1867" s="39" t="s">
        <v>2467</v>
      </c>
      <c r="D1867" s="74" t="s">
        <v>1229</v>
      </c>
      <c r="E1867" s="74" t="s">
        <v>1224</v>
      </c>
      <c r="F1867" s="74" t="s">
        <v>1225</v>
      </c>
      <c r="G1867" s="74" t="s">
        <v>1226</v>
      </c>
    </row>
    <row r="1868" spans="1:7" x14ac:dyDescent="0.2">
      <c r="A1868" s="39">
        <v>8035</v>
      </c>
      <c r="B1868" s="38" t="s">
        <v>161</v>
      </c>
      <c r="C1868" s="39" t="s">
        <v>2467</v>
      </c>
      <c r="D1868" s="74" t="s">
        <v>1229</v>
      </c>
      <c r="E1868" s="74" t="s">
        <v>1224</v>
      </c>
      <c r="F1868" s="74" t="s">
        <v>1225</v>
      </c>
      <c r="G1868" s="74" t="s">
        <v>1226</v>
      </c>
    </row>
    <row r="1869" spans="1:7" x14ac:dyDescent="0.2">
      <c r="A1869" s="39">
        <v>8036</v>
      </c>
      <c r="B1869" s="38" t="s">
        <v>161</v>
      </c>
      <c r="C1869" s="39" t="s">
        <v>2467</v>
      </c>
      <c r="D1869" s="74" t="s">
        <v>1227</v>
      </c>
      <c r="E1869" s="74" t="s">
        <v>1224</v>
      </c>
      <c r="F1869" s="74" t="s">
        <v>1226</v>
      </c>
      <c r="G1869" s="74" t="s">
        <v>1226</v>
      </c>
    </row>
    <row r="1870" spans="1:7" x14ac:dyDescent="0.2">
      <c r="A1870" s="39">
        <v>8041</v>
      </c>
      <c r="B1870" s="38" t="s">
        <v>2121</v>
      </c>
      <c r="C1870" s="39" t="s">
        <v>2467</v>
      </c>
      <c r="D1870" s="74" t="s">
        <v>1227</v>
      </c>
      <c r="E1870" s="74" t="s">
        <v>1224</v>
      </c>
      <c r="F1870" s="74" t="s">
        <v>1226</v>
      </c>
      <c r="G1870" s="74" t="s">
        <v>1226</v>
      </c>
    </row>
    <row r="1871" spans="1:7" x14ac:dyDescent="0.2">
      <c r="A1871" s="39">
        <v>8042</v>
      </c>
      <c r="B1871" s="38" t="s">
        <v>2122</v>
      </c>
      <c r="C1871" s="39" t="s">
        <v>2467</v>
      </c>
      <c r="D1871" s="74" t="s">
        <v>1227</v>
      </c>
      <c r="E1871" s="74" t="s">
        <v>1224</v>
      </c>
      <c r="F1871" s="74" t="s">
        <v>1226</v>
      </c>
      <c r="G1871" s="74" t="s">
        <v>1226</v>
      </c>
    </row>
    <row r="1872" spans="1:7" x14ac:dyDescent="0.2">
      <c r="A1872" s="39">
        <v>8043</v>
      </c>
      <c r="B1872" s="38" t="s">
        <v>2123</v>
      </c>
      <c r="C1872" s="39" t="s">
        <v>2467</v>
      </c>
      <c r="D1872" s="74" t="s">
        <v>1227</v>
      </c>
      <c r="E1872" s="74" t="s">
        <v>1224</v>
      </c>
      <c r="F1872" s="74" t="s">
        <v>1226</v>
      </c>
      <c r="G1872" s="74" t="s">
        <v>1226</v>
      </c>
    </row>
    <row r="1873" spans="1:7" x14ac:dyDescent="0.2">
      <c r="A1873" s="39">
        <v>8044</v>
      </c>
      <c r="B1873" s="38" t="s">
        <v>2124</v>
      </c>
      <c r="C1873" s="39" t="s">
        <v>2467</v>
      </c>
      <c r="D1873" s="74" t="s">
        <v>1227</v>
      </c>
      <c r="E1873" s="74" t="s">
        <v>1224</v>
      </c>
      <c r="F1873" s="74" t="s">
        <v>1226</v>
      </c>
      <c r="G1873" s="74" t="s">
        <v>1226</v>
      </c>
    </row>
    <row r="1874" spans="1:7" x14ac:dyDescent="0.2">
      <c r="A1874" s="39">
        <v>8045</v>
      </c>
      <c r="B1874" s="38" t="s">
        <v>2125</v>
      </c>
      <c r="C1874" s="39" t="s">
        <v>2467</v>
      </c>
      <c r="D1874" s="74" t="s">
        <v>1227</v>
      </c>
      <c r="E1874" s="74" t="s">
        <v>1224</v>
      </c>
      <c r="F1874" s="74" t="s">
        <v>1226</v>
      </c>
      <c r="G1874" s="74" t="s">
        <v>1226</v>
      </c>
    </row>
    <row r="1875" spans="1:7" x14ac:dyDescent="0.2">
      <c r="A1875" s="39">
        <v>8046</v>
      </c>
      <c r="B1875" s="38" t="s">
        <v>2126</v>
      </c>
      <c r="C1875" s="39" t="s">
        <v>2467</v>
      </c>
      <c r="D1875" s="74" t="s">
        <v>1227</v>
      </c>
      <c r="E1875" s="74" t="s">
        <v>1224</v>
      </c>
      <c r="F1875" s="74" t="s">
        <v>1226</v>
      </c>
      <c r="G1875" s="74" t="s">
        <v>1225</v>
      </c>
    </row>
    <row r="1876" spans="1:7" x14ac:dyDescent="0.2">
      <c r="A1876" s="39">
        <v>8047</v>
      </c>
      <c r="B1876" s="38" t="s">
        <v>2127</v>
      </c>
      <c r="C1876" s="39" t="s">
        <v>2467</v>
      </c>
      <c r="D1876" s="74" t="s">
        <v>1227</v>
      </c>
      <c r="E1876" s="74" t="s">
        <v>1224</v>
      </c>
      <c r="F1876" s="74" t="s">
        <v>1226</v>
      </c>
      <c r="G1876" s="74" t="s">
        <v>1226</v>
      </c>
    </row>
    <row r="1877" spans="1:7" x14ac:dyDescent="0.2">
      <c r="A1877" s="39">
        <v>8051</v>
      </c>
      <c r="B1877" s="38" t="s">
        <v>2128</v>
      </c>
      <c r="C1877" s="39" t="s">
        <v>2467</v>
      </c>
      <c r="D1877" s="74" t="s">
        <v>1227</v>
      </c>
      <c r="E1877" s="74" t="s">
        <v>1224</v>
      </c>
      <c r="F1877" s="74" t="s">
        <v>1226</v>
      </c>
      <c r="G1877" s="74" t="s">
        <v>1226</v>
      </c>
    </row>
    <row r="1878" spans="1:7" x14ac:dyDescent="0.2">
      <c r="A1878" s="39">
        <v>8052</v>
      </c>
      <c r="B1878" s="38" t="s">
        <v>2129</v>
      </c>
      <c r="C1878" s="39" t="s">
        <v>2467</v>
      </c>
      <c r="D1878" s="74" t="s">
        <v>1227</v>
      </c>
      <c r="E1878" s="74" t="s">
        <v>1224</v>
      </c>
      <c r="F1878" s="74" t="s">
        <v>1226</v>
      </c>
      <c r="G1878" s="74" t="s">
        <v>1226</v>
      </c>
    </row>
    <row r="1879" spans="1:7" x14ac:dyDescent="0.2">
      <c r="A1879" s="39">
        <v>8053</v>
      </c>
      <c r="B1879" s="38" t="s">
        <v>2130</v>
      </c>
      <c r="C1879" s="39" t="s">
        <v>2467</v>
      </c>
      <c r="D1879" s="74" t="s">
        <v>1227</v>
      </c>
      <c r="E1879" s="74" t="s">
        <v>1224</v>
      </c>
      <c r="F1879" s="74" t="s">
        <v>1226</v>
      </c>
      <c r="G1879" s="74" t="s">
        <v>1226</v>
      </c>
    </row>
    <row r="1880" spans="1:7" x14ac:dyDescent="0.2">
      <c r="A1880" s="39">
        <v>8054</v>
      </c>
      <c r="B1880" s="38" t="s">
        <v>2131</v>
      </c>
      <c r="C1880" s="39" t="s">
        <v>2467</v>
      </c>
      <c r="D1880" s="74" t="s">
        <v>1227</v>
      </c>
      <c r="E1880" s="74" t="s">
        <v>1224</v>
      </c>
      <c r="F1880" s="74" t="s">
        <v>1226</v>
      </c>
      <c r="G1880" s="74" t="s">
        <v>1226</v>
      </c>
    </row>
    <row r="1881" spans="1:7" x14ac:dyDescent="0.2">
      <c r="A1881" s="39">
        <v>8055</v>
      </c>
      <c r="B1881" s="38" t="s">
        <v>2132</v>
      </c>
      <c r="C1881" s="39" t="s">
        <v>2467</v>
      </c>
      <c r="D1881" s="74" t="s">
        <v>1227</v>
      </c>
      <c r="E1881" s="74" t="s">
        <v>1224</v>
      </c>
      <c r="F1881" s="74" t="s">
        <v>1226</v>
      </c>
      <c r="G1881" s="74" t="s">
        <v>1226</v>
      </c>
    </row>
    <row r="1882" spans="1:7" x14ac:dyDescent="0.2">
      <c r="A1882" s="39">
        <v>8061</v>
      </c>
      <c r="B1882" s="38" t="s">
        <v>2134</v>
      </c>
      <c r="C1882" s="39" t="s">
        <v>2467</v>
      </c>
      <c r="D1882" s="74" t="s">
        <v>1227</v>
      </c>
      <c r="E1882" s="74" t="s">
        <v>1224</v>
      </c>
      <c r="F1882" s="74" t="s">
        <v>1226</v>
      </c>
      <c r="G1882" s="74" t="s">
        <v>1226</v>
      </c>
    </row>
    <row r="1883" spans="1:7" x14ac:dyDescent="0.2">
      <c r="A1883" s="39">
        <v>8062</v>
      </c>
      <c r="B1883" s="38" t="s">
        <v>2135</v>
      </c>
      <c r="C1883" s="39" t="s">
        <v>2467</v>
      </c>
      <c r="D1883" s="74" t="s">
        <v>1227</v>
      </c>
      <c r="E1883" s="74" t="s">
        <v>1224</v>
      </c>
      <c r="F1883" s="74" t="s">
        <v>1226</v>
      </c>
      <c r="G1883" s="74" t="s">
        <v>1226</v>
      </c>
    </row>
    <row r="1884" spans="1:7" x14ac:dyDescent="0.2">
      <c r="A1884" s="39">
        <v>8063</v>
      </c>
      <c r="B1884" s="38" t="s">
        <v>2136</v>
      </c>
      <c r="C1884" s="39" t="s">
        <v>2467</v>
      </c>
      <c r="D1884" s="74" t="s">
        <v>1227</v>
      </c>
      <c r="E1884" s="74" t="s">
        <v>1224</v>
      </c>
      <c r="F1884" s="74" t="s">
        <v>1226</v>
      </c>
      <c r="G1884" s="74" t="s">
        <v>1226</v>
      </c>
    </row>
    <row r="1885" spans="1:7" x14ac:dyDescent="0.2">
      <c r="A1885" s="39">
        <v>8071</v>
      </c>
      <c r="B1885" s="38" t="s">
        <v>2137</v>
      </c>
      <c r="C1885" s="39" t="s">
        <v>2467</v>
      </c>
      <c r="D1885" s="74" t="s">
        <v>1227</v>
      </c>
      <c r="E1885" s="74" t="s">
        <v>1224</v>
      </c>
      <c r="F1885" s="74" t="s">
        <v>1226</v>
      </c>
      <c r="G1885" s="74" t="s">
        <v>1226</v>
      </c>
    </row>
    <row r="1886" spans="1:7" x14ac:dyDescent="0.2">
      <c r="A1886" s="39">
        <v>8072</v>
      </c>
      <c r="B1886" s="38" t="s">
        <v>2138</v>
      </c>
      <c r="C1886" s="39" t="s">
        <v>2467</v>
      </c>
      <c r="D1886" s="74" t="s">
        <v>1227</v>
      </c>
      <c r="E1886" s="74" t="s">
        <v>1224</v>
      </c>
      <c r="F1886" s="74" t="s">
        <v>1226</v>
      </c>
      <c r="G1886" s="74" t="s">
        <v>1226</v>
      </c>
    </row>
    <row r="1887" spans="1:7" x14ac:dyDescent="0.2">
      <c r="A1887" s="39">
        <v>8073</v>
      </c>
      <c r="B1887" s="38" t="s">
        <v>2139</v>
      </c>
      <c r="C1887" s="39" t="s">
        <v>2467</v>
      </c>
      <c r="D1887" s="74" t="s">
        <v>1227</v>
      </c>
      <c r="E1887" s="74" t="s">
        <v>1224</v>
      </c>
      <c r="F1887" s="74" t="s">
        <v>1226</v>
      </c>
      <c r="G1887" s="74" t="s">
        <v>1226</v>
      </c>
    </row>
    <row r="1888" spans="1:7" x14ac:dyDescent="0.2">
      <c r="A1888" s="39">
        <v>8074</v>
      </c>
      <c r="B1888" s="38" t="s">
        <v>2140</v>
      </c>
      <c r="C1888" s="39" t="s">
        <v>2467</v>
      </c>
      <c r="D1888" s="74" t="s">
        <v>1227</v>
      </c>
      <c r="E1888" s="74" t="s">
        <v>1224</v>
      </c>
      <c r="F1888" s="74" t="s">
        <v>1226</v>
      </c>
      <c r="G1888" s="74" t="s">
        <v>1226</v>
      </c>
    </row>
    <row r="1889" spans="1:7" x14ac:dyDescent="0.2">
      <c r="A1889" s="39">
        <v>8075</v>
      </c>
      <c r="B1889" s="38" t="s">
        <v>2141</v>
      </c>
      <c r="C1889" s="39" t="s">
        <v>2467</v>
      </c>
      <c r="D1889" s="74" t="s">
        <v>1227</v>
      </c>
      <c r="E1889" s="74" t="s">
        <v>1224</v>
      </c>
      <c r="F1889" s="74" t="s">
        <v>1226</v>
      </c>
      <c r="G1889" s="74" t="s">
        <v>1226</v>
      </c>
    </row>
    <row r="1890" spans="1:7" x14ac:dyDescent="0.2">
      <c r="A1890" s="39">
        <v>8081</v>
      </c>
      <c r="B1890" s="38" t="s">
        <v>2142</v>
      </c>
      <c r="C1890" s="39" t="s">
        <v>2467</v>
      </c>
      <c r="D1890" s="74" t="s">
        <v>1227</v>
      </c>
      <c r="E1890" s="74" t="s">
        <v>1224</v>
      </c>
      <c r="F1890" s="74" t="s">
        <v>1226</v>
      </c>
      <c r="G1890" s="74" t="s">
        <v>1226</v>
      </c>
    </row>
    <row r="1891" spans="1:7" x14ac:dyDescent="0.2">
      <c r="A1891" s="39">
        <v>8082</v>
      </c>
      <c r="B1891" s="38" t="s">
        <v>2143</v>
      </c>
      <c r="C1891" s="39" t="s">
        <v>2467</v>
      </c>
      <c r="D1891" s="74" t="s">
        <v>1227</v>
      </c>
      <c r="E1891" s="74" t="s">
        <v>1224</v>
      </c>
      <c r="F1891" s="74" t="s">
        <v>1226</v>
      </c>
      <c r="G1891" s="74" t="s">
        <v>1226</v>
      </c>
    </row>
    <row r="1892" spans="1:7" x14ac:dyDescent="0.2">
      <c r="A1892" s="39">
        <v>8083</v>
      </c>
      <c r="B1892" s="38" t="s">
        <v>2144</v>
      </c>
      <c r="C1892" s="39" t="s">
        <v>2467</v>
      </c>
      <c r="D1892" s="74" t="s">
        <v>1227</v>
      </c>
      <c r="E1892" s="74" t="s">
        <v>1224</v>
      </c>
      <c r="F1892" s="74" t="s">
        <v>1226</v>
      </c>
      <c r="G1892" s="74" t="s">
        <v>1226</v>
      </c>
    </row>
    <row r="1893" spans="1:7" x14ac:dyDescent="0.2">
      <c r="A1893" s="39">
        <v>8091</v>
      </c>
      <c r="B1893" s="38" t="s">
        <v>2145</v>
      </c>
      <c r="C1893" s="39" t="s">
        <v>2467</v>
      </c>
      <c r="D1893" s="74" t="s">
        <v>1227</v>
      </c>
      <c r="E1893" s="74" t="s">
        <v>1224</v>
      </c>
      <c r="F1893" s="74" t="s">
        <v>1226</v>
      </c>
      <c r="G1893" s="74" t="s">
        <v>1225</v>
      </c>
    </row>
    <row r="1894" spans="1:7" x14ac:dyDescent="0.2">
      <c r="A1894" s="39">
        <v>8092</v>
      </c>
      <c r="B1894" s="38" t="s">
        <v>2146</v>
      </c>
      <c r="C1894" s="39" t="s">
        <v>2467</v>
      </c>
      <c r="D1894" s="74" t="s">
        <v>1227</v>
      </c>
      <c r="E1894" s="74" t="s">
        <v>1224</v>
      </c>
      <c r="F1894" s="74" t="s">
        <v>1226</v>
      </c>
      <c r="G1894" s="74" t="s">
        <v>1225</v>
      </c>
    </row>
    <row r="1895" spans="1:7" x14ac:dyDescent="0.2">
      <c r="A1895" s="39">
        <v>8093</v>
      </c>
      <c r="B1895" s="38" t="s">
        <v>2147</v>
      </c>
      <c r="C1895" s="39" t="s">
        <v>2467</v>
      </c>
      <c r="D1895" s="74" t="s">
        <v>1227</v>
      </c>
      <c r="E1895" s="74" t="s">
        <v>1224</v>
      </c>
      <c r="F1895" s="74" t="s">
        <v>1226</v>
      </c>
      <c r="G1895" s="74" t="s">
        <v>1226</v>
      </c>
    </row>
    <row r="1896" spans="1:7" x14ac:dyDescent="0.2">
      <c r="A1896" s="39">
        <v>8101</v>
      </c>
      <c r="B1896" s="38" t="s">
        <v>2148</v>
      </c>
      <c r="C1896" s="39" t="s">
        <v>2467</v>
      </c>
      <c r="D1896" s="74" t="s">
        <v>1227</v>
      </c>
      <c r="E1896" s="74" t="s">
        <v>1224</v>
      </c>
      <c r="F1896" s="74" t="s">
        <v>1226</v>
      </c>
      <c r="G1896" s="74" t="s">
        <v>1226</v>
      </c>
    </row>
    <row r="1897" spans="1:7" x14ac:dyDescent="0.2">
      <c r="A1897" s="39">
        <v>8102</v>
      </c>
      <c r="B1897" s="38" t="s">
        <v>2149</v>
      </c>
      <c r="C1897" s="39" t="s">
        <v>2467</v>
      </c>
      <c r="D1897" s="74" t="s">
        <v>1227</v>
      </c>
      <c r="E1897" s="74" t="s">
        <v>1224</v>
      </c>
      <c r="F1897" s="74" t="s">
        <v>1226</v>
      </c>
      <c r="G1897" s="74" t="s">
        <v>1226</v>
      </c>
    </row>
    <row r="1898" spans="1:7" x14ac:dyDescent="0.2">
      <c r="A1898" s="39">
        <v>8103</v>
      </c>
      <c r="B1898" s="38" t="s">
        <v>2150</v>
      </c>
      <c r="C1898" s="39" t="s">
        <v>2467</v>
      </c>
      <c r="D1898" s="74" t="s">
        <v>1227</v>
      </c>
      <c r="E1898" s="74" t="s">
        <v>1224</v>
      </c>
      <c r="F1898" s="74" t="s">
        <v>1226</v>
      </c>
      <c r="G1898" s="74" t="s">
        <v>1225</v>
      </c>
    </row>
    <row r="1899" spans="1:7" x14ac:dyDescent="0.2">
      <c r="A1899" s="39">
        <v>8111</v>
      </c>
      <c r="B1899" s="38" t="s">
        <v>2151</v>
      </c>
      <c r="C1899" s="39" t="s">
        <v>2467</v>
      </c>
      <c r="D1899" s="74" t="s">
        <v>1227</v>
      </c>
      <c r="E1899" s="74" t="s">
        <v>1224</v>
      </c>
      <c r="F1899" s="74" t="s">
        <v>1226</v>
      </c>
      <c r="G1899" s="74" t="s">
        <v>1226</v>
      </c>
    </row>
    <row r="1900" spans="1:7" x14ac:dyDescent="0.2">
      <c r="A1900" s="39">
        <v>8112</v>
      </c>
      <c r="B1900" s="38" t="s">
        <v>2152</v>
      </c>
      <c r="C1900" s="39" t="s">
        <v>2467</v>
      </c>
      <c r="D1900" s="74" t="s">
        <v>1227</v>
      </c>
      <c r="E1900" s="74" t="s">
        <v>1224</v>
      </c>
      <c r="F1900" s="74" t="s">
        <v>1226</v>
      </c>
      <c r="G1900" s="74" t="s">
        <v>1226</v>
      </c>
    </row>
    <row r="1901" spans="1:7" x14ac:dyDescent="0.2">
      <c r="A1901" s="39">
        <v>8113</v>
      </c>
      <c r="B1901" s="38" t="s">
        <v>2153</v>
      </c>
      <c r="C1901" s="39" t="s">
        <v>2467</v>
      </c>
      <c r="D1901" s="74" t="s">
        <v>1227</v>
      </c>
      <c r="E1901" s="74" t="s">
        <v>1224</v>
      </c>
      <c r="F1901" s="74" t="s">
        <v>1226</v>
      </c>
      <c r="G1901" s="74" t="s">
        <v>1225</v>
      </c>
    </row>
    <row r="1902" spans="1:7" x14ac:dyDescent="0.2">
      <c r="A1902" s="39">
        <v>8114</v>
      </c>
      <c r="B1902" s="38" t="s">
        <v>2154</v>
      </c>
      <c r="C1902" s="39" t="s">
        <v>2467</v>
      </c>
      <c r="D1902" s="74" t="s">
        <v>1227</v>
      </c>
      <c r="E1902" s="74" t="s">
        <v>1224</v>
      </c>
      <c r="F1902" s="74" t="s">
        <v>1226</v>
      </c>
      <c r="G1902" s="74" t="s">
        <v>1225</v>
      </c>
    </row>
    <row r="1903" spans="1:7" x14ac:dyDescent="0.2">
      <c r="A1903" s="39">
        <v>8120</v>
      </c>
      <c r="B1903" s="38" t="s">
        <v>2155</v>
      </c>
      <c r="C1903" s="39" t="s">
        <v>2467</v>
      </c>
      <c r="D1903" s="74" t="s">
        <v>1227</v>
      </c>
      <c r="E1903" s="74" t="s">
        <v>1224</v>
      </c>
      <c r="F1903" s="74" t="s">
        <v>1226</v>
      </c>
      <c r="G1903" s="74" t="s">
        <v>1225</v>
      </c>
    </row>
    <row r="1904" spans="1:7" x14ac:dyDescent="0.2">
      <c r="A1904" s="39">
        <v>8121</v>
      </c>
      <c r="B1904" s="38" t="s">
        <v>2156</v>
      </c>
      <c r="C1904" s="39" t="s">
        <v>2467</v>
      </c>
      <c r="D1904" s="74" t="s">
        <v>1227</v>
      </c>
      <c r="E1904" s="74" t="s">
        <v>1224</v>
      </c>
      <c r="F1904" s="74" t="s">
        <v>1226</v>
      </c>
      <c r="G1904" s="74" t="s">
        <v>1226</v>
      </c>
    </row>
    <row r="1905" spans="1:7" x14ac:dyDescent="0.2">
      <c r="A1905" s="39">
        <v>8122</v>
      </c>
      <c r="B1905" s="38" t="s">
        <v>2157</v>
      </c>
      <c r="C1905" s="39" t="s">
        <v>2467</v>
      </c>
      <c r="D1905" s="74" t="s">
        <v>1227</v>
      </c>
      <c r="E1905" s="74" t="s">
        <v>1224</v>
      </c>
      <c r="F1905" s="74" t="s">
        <v>1226</v>
      </c>
      <c r="G1905" s="74" t="s">
        <v>1225</v>
      </c>
    </row>
    <row r="1906" spans="1:7" x14ac:dyDescent="0.2">
      <c r="A1906" s="39">
        <v>8124</v>
      </c>
      <c r="B1906" s="38" t="s">
        <v>2158</v>
      </c>
      <c r="C1906" s="39" t="s">
        <v>2467</v>
      </c>
      <c r="D1906" s="74" t="s">
        <v>1227</v>
      </c>
      <c r="E1906" s="74" t="s">
        <v>1224</v>
      </c>
      <c r="F1906" s="74" t="s">
        <v>1226</v>
      </c>
      <c r="G1906" s="74" t="s">
        <v>1226</v>
      </c>
    </row>
    <row r="1907" spans="1:7" x14ac:dyDescent="0.2">
      <c r="A1907" s="39">
        <v>8130</v>
      </c>
      <c r="B1907" s="38" t="s">
        <v>2159</v>
      </c>
      <c r="C1907" s="39" t="s">
        <v>2467</v>
      </c>
      <c r="D1907" s="74" t="s">
        <v>1227</v>
      </c>
      <c r="E1907" s="74" t="s">
        <v>1224</v>
      </c>
      <c r="F1907" s="74" t="s">
        <v>1226</v>
      </c>
      <c r="G1907" s="74" t="s">
        <v>1226</v>
      </c>
    </row>
    <row r="1908" spans="1:7" x14ac:dyDescent="0.2">
      <c r="A1908" s="39">
        <v>8131</v>
      </c>
      <c r="B1908" s="38" t="s">
        <v>2160</v>
      </c>
      <c r="C1908" s="39" t="s">
        <v>2467</v>
      </c>
      <c r="D1908" s="74" t="s">
        <v>1227</v>
      </c>
      <c r="E1908" s="74" t="s">
        <v>1224</v>
      </c>
      <c r="F1908" s="74" t="s">
        <v>1226</v>
      </c>
      <c r="G1908" s="74" t="s">
        <v>1225</v>
      </c>
    </row>
    <row r="1909" spans="1:7" x14ac:dyDescent="0.2">
      <c r="A1909" s="39">
        <v>8132</v>
      </c>
      <c r="B1909" s="38" t="s">
        <v>2161</v>
      </c>
      <c r="C1909" s="39" t="s">
        <v>2467</v>
      </c>
      <c r="D1909" s="74" t="s">
        <v>1227</v>
      </c>
      <c r="E1909" s="74" t="s">
        <v>1224</v>
      </c>
      <c r="F1909" s="74" t="s">
        <v>1226</v>
      </c>
      <c r="G1909" s="74" t="s">
        <v>1225</v>
      </c>
    </row>
    <row r="1910" spans="1:7" x14ac:dyDescent="0.2">
      <c r="A1910" s="39">
        <v>8141</v>
      </c>
      <c r="B1910" s="38" t="s">
        <v>2162</v>
      </c>
      <c r="C1910" s="39" t="s">
        <v>2467</v>
      </c>
      <c r="D1910" s="74" t="s">
        <v>1227</v>
      </c>
      <c r="E1910" s="74" t="s">
        <v>1224</v>
      </c>
      <c r="F1910" s="74" t="s">
        <v>1226</v>
      </c>
      <c r="G1910" s="74" t="s">
        <v>1226</v>
      </c>
    </row>
    <row r="1911" spans="1:7" x14ac:dyDescent="0.2">
      <c r="A1911" s="39">
        <v>8142</v>
      </c>
      <c r="B1911" s="38" t="s">
        <v>2163</v>
      </c>
      <c r="C1911" s="39" t="s">
        <v>2467</v>
      </c>
      <c r="D1911" s="74" t="s">
        <v>1227</v>
      </c>
      <c r="E1911" s="74" t="s">
        <v>1224</v>
      </c>
      <c r="F1911" s="74" t="s">
        <v>1226</v>
      </c>
      <c r="G1911" s="74" t="s">
        <v>1226</v>
      </c>
    </row>
    <row r="1912" spans="1:7" x14ac:dyDescent="0.2">
      <c r="A1912" s="39">
        <v>8143</v>
      </c>
      <c r="B1912" s="38" t="s">
        <v>2164</v>
      </c>
      <c r="C1912" s="39" t="s">
        <v>2467</v>
      </c>
      <c r="D1912" s="74" t="s">
        <v>1227</v>
      </c>
      <c r="E1912" s="74" t="s">
        <v>1224</v>
      </c>
      <c r="F1912" s="74" t="s">
        <v>1226</v>
      </c>
      <c r="G1912" s="74" t="s">
        <v>1225</v>
      </c>
    </row>
    <row r="1913" spans="1:7" x14ac:dyDescent="0.2">
      <c r="A1913" s="39">
        <v>8144</v>
      </c>
      <c r="B1913" s="38" t="s">
        <v>2165</v>
      </c>
      <c r="C1913" s="39" t="s">
        <v>2467</v>
      </c>
      <c r="D1913" s="74" t="s">
        <v>1227</v>
      </c>
      <c r="E1913" s="74" t="s">
        <v>1224</v>
      </c>
      <c r="F1913" s="74" t="s">
        <v>1226</v>
      </c>
      <c r="G1913" s="74" t="s">
        <v>1225</v>
      </c>
    </row>
    <row r="1914" spans="1:7" x14ac:dyDescent="0.2">
      <c r="A1914" s="39">
        <v>8151</v>
      </c>
      <c r="B1914" s="38" t="s">
        <v>2166</v>
      </c>
      <c r="C1914" s="39" t="s">
        <v>2467</v>
      </c>
      <c r="D1914" s="74" t="s">
        <v>1227</v>
      </c>
      <c r="E1914" s="74" t="s">
        <v>1224</v>
      </c>
      <c r="F1914" s="74" t="s">
        <v>1226</v>
      </c>
      <c r="G1914" s="74" t="s">
        <v>1226</v>
      </c>
    </row>
    <row r="1915" spans="1:7" x14ac:dyDescent="0.2">
      <c r="A1915" s="39">
        <v>8152</v>
      </c>
      <c r="B1915" s="38" t="s">
        <v>2167</v>
      </c>
      <c r="C1915" s="39" t="s">
        <v>2467</v>
      </c>
      <c r="D1915" s="74" t="s">
        <v>1227</v>
      </c>
      <c r="E1915" s="74" t="s">
        <v>1224</v>
      </c>
      <c r="F1915" s="74" t="s">
        <v>1226</v>
      </c>
      <c r="G1915" s="74" t="s">
        <v>1226</v>
      </c>
    </row>
    <row r="1916" spans="1:7" x14ac:dyDescent="0.2">
      <c r="A1916" s="39">
        <v>8153</v>
      </c>
      <c r="B1916" s="38" t="s">
        <v>2168</v>
      </c>
      <c r="C1916" s="39" t="s">
        <v>2467</v>
      </c>
      <c r="D1916" s="74" t="s">
        <v>1227</v>
      </c>
      <c r="E1916" s="74" t="s">
        <v>1224</v>
      </c>
      <c r="F1916" s="74" t="s">
        <v>1226</v>
      </c>
      <c r="G1916" s="74" t="s">
        <v>1225</v>
      </c>
    </row>
    <row r="1917" spans="1:7" x14ac:dyDescent="0.2">
      <c r="A1917" s="39">
        <v>8160</v>
      </c>
      <c r="B1917" s="38" t="s">
        <v>2169</v>
      </c>
      <c r="C1917" s="39" t="s">
        <v>2467</v>
      </c>
      <c r="D1917" s="74" t="s">
        <v>1227</v>
      </c>
      <c r="E1917" s="74" t="s">
        <v>1224</v>
      </c>
      <c r="F1917" s="74" t="s">
        <v>1226</v>
      </c>
      <c r="G1917" s="74" t="s">
        <v>1226</v>
      </c>
    </row>
    <row r="1918" spans="1:7" x14ac:dyDescent="0.2">
      <c r="A1918" s="39">
        <v>8162</v>
      </c>
      <c r="B1918" s="38" t="s">
        <v>2170</v>
      </c>
      <c r="C1918" s="39" t="s">
        <v>2467</v>
      </c>
      <c r="D1918" s="74" t="s">
        <v>1227</v>
      </c>
      <c r="E1918" s="74" t="s">
        <v>1224</v>
      </c>
      <c r="F1918" s="74" t="s">
        <v>1226</v>
      </c>
      <c r="G1918" s="74" t="s">
        <v>1226</v>
      </c>
    </row>
    <row r="1919" spans="1:7" x14ac:dyDescent="0.2">
      <c r="A1919" s="39">
        <v>8163</v>
      </c>
      <c r="B1919" s="38" t="s">
        <v>2171</v>
      </c>
      <c r="C1919" s="39" t="s">
        <v>2467</v>
      </c>
      <c r="D1919" s="74" t="s">
        <v>1227</v>
      </c>
      <c r="E1919" s="74" t="s">
        <v>1224</v>
      </c>
      <c r="F1919" s="74" t="s">
        <v>1226</v>
      </c>
      <c r="G1919" s="74" t="s">
        <v>1225</v>
      </c>
    </row>
    <row r="1920" spans="1:7" x14ac:dyDescent="0.2">
      <c r="A1920" s="39">
        <v>8171</v>
      </c>
      <c r="B1920" s="38" t="s">
        <v>2172</v>
      </c>
      <c r="C1920" s="39" t="s">
        <v>2467</v>
      </c>
      <c r="D1920" s="74" t="s">
        <v>1227</v>
      </c>
      <c r="E1920" s="74" t="s">
        <v>1224</v>
      </c>
      <c r="F1920" s="74" t="s">
        <v>1226</v>
      </c>
      <c r="G1920" s="74" t="s">
        <v>1225</v>
      </c>
    </row>
    <row r="1921" spans="1:7" x14ac:dyDescent="0.2">
      <c r="A1921" s="39">
        <v>8172</v>
      </c>
      <c r="B1921" s="38" t="s">
        <v>2173</v>
      </c>
      <c r="C1921" s="39" t="s">
        <v>2467</v>
      </c>
      <c r="D1921" s="74" t="s">
        <v>1227</v>
      </c>
      <c r="E1921" s="74" t="s">
        <v>1224</v>
      </c>
      <c r="F1921" s="74" t="s">
        <v>1226</v>
      </c>
      <c r="G1921" s="74" t="s">
        <v>1225</v>
      </c>
    </row>
    <row r="1922" spans="1:7" x14ac:dyDescent="0.2">
      <c r="A1922" s="39">
        <v>8181</v>
      </c>
      <c r="B1922" s="38" t="s">
        <v>2174</v>
      </c>
      <c r="C1922" s="39" t="s">
        <v>2467</v>
      </c>
      <c r="D1922" s="74" t="s">
        <v>1227</v>
      </c>
      <c r="E1922" s="74" t="s">
        <v>1224</v>
      </c>
      <c r="F1922" s="74" t="s">
        <v>1226</v>
      </c>
      <c r="G1922" s="74" t="s">
        <v>1226</v>
      </c>
    </row>
    <row r="1923" spans="1:7" x14ac:dyDescent="0.2">
      <c r="A1923" s="39">
        <v>8182</v>
      </c>
      <c r="B1923" s="38" t="s">
        <v>2175</v>
      </c>
      <c r="C1923" s="39" t="s">
        <v>2467</v>
      </c>
      <c r="D1923" s="74" t="s">
        <v>1227</v>
      </c>
      <c r="E1923" s="74" t="s">
        <v>1224</v>
      </c>
      <c r="F1923" s="74" t="s">
        <v>1226</v>
      </c>
      <c r="G1923" s="74" t="s">
        <v>1225</v>
      </c>
    </row>
    <row r="1924" spans="1:7" x14ac:dyDescent="0.2">
      <c r="A1924" s="39">
        <v>8183</v>
      </c>
      <c r="B1924" s="38" t="s">
        <v>2176</v>
      </c>
      <c r="C1924" s="39" t="s">
        <v>2467</v>
      </c>
      <c r="D1924" s="74" t="s">
        <v>1227</v>
      </c>
      <c r="E1924" s="74" t="s">
        <v>1224</v>
      </c>
      <c r="F1924" s="74" t="s">
        <v>1226</v>
      </c>
      <c r="G1924" s="74" t="s">
        <v>1225</v>
      </c>
    </row>
    <row r="1925" spans="1:7" x14ac:dyDescent="0.2">
      <c r="A1925" s="39">
        <v>8184</v>
      </c>
      <c r="B1925" s="38" t="s">
        <v>2177</v>
      </c>
      <c r="C1925" s="39" t="s">
        <v>2467</v>
      </c>
      <c r="D1925" s="74" t="s">
        <v>1227</v>
      </c>
      <c r="E1925" s="74" t="s">
        <v>1224</v>
      </c>
      <c r="F1925" s="74" t="s">
        <v>1226</v>
      </c>
      <c r="G1925" s="74" t="s">
        <v>1226</v>
      </c>
    </row>
    <row r="1926" spans="1:7" x14ac:dyDescent="0.2">
      <c r="A1926" s="39">
        <v>8190</v>
      </c>
      <c r="B1926" s="38" t="s">
        <v>2178</v>
      </c>
      <c r="C1926" s="39" t="s">
        <v>2467</v>
      </c>
      <c r="D1926" s="74" t="s">
        <v>1227</v>
      </c>
      <c r="E1926" s="74" t="s">
        <v>1224</v>
      </c>
      <c r="F1926" s="74" t="s">
        <v>1226</v>
      </c>
      <c r="G1926" s="74" t="s">
        <v>1226</v>
      </c>
    </row>
    <row r="1927" spans="1:7" x14ac:dyDescent="0.2">
      <c r="A1927" s="39">
        <v>8191</v>
      </c>
      <c r="B1927" s="38" t="s">
        <v>2179</v>
      </c>
      <c r="C1927" s="39" t="s">
        <v>2467</v>
      </c>
      <c r="D1927" s="74" t="s">
        <v>1227</v>
      </c>
      <c r="E1927" s="74" t="s">
        <v>1224</v>
      </c>
      <c r="F1927" s="74" t="s">
        <v>1226</v>
      </c>
      <c r="G1927" s="74" t="s">
        <v>1225</v>
      </c>
    </row>
    <row r="1928" spans="1:7" x14ac:dyDescent="0.2">
      <c r="A1928" s="39">
        <v>8192</v>
      </c>
      <c r="B1928" s="38" t="s">
        <v>2180</v>
      </c>
      <c r="C1928" s="39" t="s">
        <v>2467</v>
      </c>
      <c r="D1928" s="74" t="s">
        <v>1227</v>
      </c>
      <c r="E1928" s="74" t="s">
        <v>1224</v>
      </c>
      <c r="F1928" s="74" t="s">
        <v>1226</v>
      </c>
      <c r="G1928" s="74" t="s">
        <v>1225</v>
      </c>
    </row>
    <row r="1929" spans="1:7" x14ac:dyDescent="0.2">
      <c r="A1929" s="39">
        <v>8200</v>
      </c>
      <c r="B1929" s="38" t="s">
        <v>2181</v>
      </c>
      <c r="C1929" s="39" t="s">
        <v>2467</v>
      </c>
      <c r="D1929" s="74" t="s">
        <v>1227</v>
      </c>
      <c r="E1929" s="74" t="s">
        <v>1224</v>
      </c>
      <c r="F1929" s="74" t="s">
        <v>1226</v>
      </c>
      <c r="G1929" s="74" t="s">
        <v>1226</v>
      </c>
    </row>
    <row r="1930" spans="1:7" x14ac:dyDescent="0.2">
      <c r="A1930" s="39">
        <v>8211</v>
      </c>
      <c r="B1930" s="38" t="s">
        <v>2182</v>
      </c>
      <c r="C1930" s="39" t="s">
        <v>2467</v>
      </c>
      <c r="D1930" s="74" t="s">
        <v>1227</v>
      </c>
      <c r="E1930" s="74" t="s">
        <v>1224</v>
      </c>
      <c r="F1930" s="74" t="s">
        <v>1226</v>
      </c>
      <c r="G1930" s="74" t="s">
        <v>1225</v>
      </c>
    </row>
    <row r="1931" spans="1:7" x14ac:dyDescent="0.2">
      <c r="A1931" s="39">
        <v>8212</v>
      </c>
      <c r="B1931" s="38" t="s">
        <v>2183</v>
      </c>
      <c r="C1931" s="39" t="s">
        <v>2467</v>
      </c>
      <c r="D1931" s="74" t="s">
        <v>1227</v>
      </c>
      <c r="E1931" s="74" t="s">
        <v>1224</v>
      </c>
      <c r="F1931" s="74" t="s">
        <v>1226</v>
      </c>
      <c r="G1931" s="74" t="s">
        <v>1226</v>
      </c>
    </row>
    <row r="1932" spans="1:7" x14ac:dyDescent="0.2">
      <c r="A1932" s="39">
        <v>8221</v>
      </c>
      <c r="B1932" s="38" t="s">
        <v>2184</v>
      </c>
      <c r="C1932" s="39" t="s">
        <v>2467</v>
      </c>
      <c r="D1932" s="74" t="s">
        <v>1227</v>
      </c>
      <c r="E1932" s="74" t="s">
        <v>1224</v>
      </c>
      <c r="F1932" s="74" t="s">
        <v>1226</v>
      </c>
      <c r="G1932" s="74" t="s">
        <v>1225</v>
      </c>
    </row>
    <row r="1933" spans="1:7" x14ac:dyDescent="0.2">
      <c r="A1933" s="39">
        <v>8222</v>
      </c>
      <c r="B1933" s="38" t="s">
        <v>2185</v>
      </c>
      <c r="C1933" s="39" t="s">
        <v>2467</v>
      </c>
      <c r="D1933" s="74" t="s">
        <v>1227</v>
      </c>
      <c r="E1933" s="74" t="s">
        <v>1224</v>
      </c>
      <c r="F1933" s="74" t="s">
        <v>1226</v>
      </c>
      <c r="G1933" s="74" t="s">
        <v>1225</v>
      </c>
    </row>
    <row r="1934" spans="1:7" x14ac:dyDescent="0.2">
      <c r="A1934" s="39">
        <v>8223</v>
      </c>
      <c r="B1934" s="38" t="s">
        <v>2186</v>
      </c>
      <c r="C1934" s="39" t="s">
        <v>2467</v>
      </c>
      <c r="D1934" s="74" t="s">
        <v>1227</v>
      </c>
      <c r="E1934" s="74" t="s">
        <v>1224</v>
      </c>
      <c r="F1934" s="74" t="s">
        <v>1226</v>
      </c>
      <c r="G1934" s="74" t="s">
        <v>1226</v>
      </c>
    </row>
    <row r="1935" spans="1:7" x14ac:dyDescent="0.2">
      <c r="A1935" s="39">
        <v>8224</v>
      </c>
      <c r="B1935" s="38" t="s">
        <v>2187</v>
      </c>
      <c r="C1935" s="39" t="s">
        <v>2467</v>
      </c>
      <c r="D1935" s="74" t="s">
        <v>1227</v>
      </c>
      <c r="E1935" s="74" t="s">
        <v>1224</v>
      </c>
      <c r="F1935" s="74" t="s">
        <v>1226</v>
      </c>
      <c r="G1935" s="74" t="s">
        <v>1226</v>
      </c>
    </row>
    <row r="1936" spans="1:7" x14ac:dyDescent="0.2">
      <c r="A1936" s="39">
        <v>8225</v>
      </c>
      <c r="B1936" s="38" t="s">
        <v>2188</v>
      </c>
      <c r="C1936" s="39" t="s">
        <v>2467</v>
      </c>
      <c r="D1936" s="74" t="s">
        <v>1227</v>
      </c>
      <c r="E1936" s="74" t="s">
        <v>1224</v>
      </c>
      <c r="F1936" s="74" t="s">
        <v>1226</v>
      </c>
      <c r="G1936" s="74" t="s">
        <v>1226</v>
      </c>
    </row>
    <row r="1937" spans="1:7" x14ac:dyDescent="0.2">
      <c r="A1937" s="39">
        <v>8230</v>
      </c>
      <c r="B1937" s="38" t="s">
        <v>2189</v>
      </c>
      <c r="C1937" s="39" t="s">
        <v>2467</v>
      </c>
      <c r="D1937" s="74" t="s">
        <v>1227</v>
      </c>
      <c r="E1937" s="74" t="s">
        <v>1224</v>
      </c>
      <c r="F1937" s="74" t="s">
        <v>1226</v>
      </c>
      <c r="G1937" s="74" t="s">
        <v>1226</v>
      </c>
    </row>
    <row r="1938" spans="1:7" x14ac:dyDescent="0.2">
      <c r="A1938" s="39">
        <v>8232</v>
      </c>
      <c r="B1938" s="38" t="s">
        <v>2190</v>
      </c>
      <c r="C1938" s="39" t="s">
        <v>2467</v>
      </c>
      <c r="D1938" s="74" t="s">
        <v>1227</v>
      </c>
      <c r="E1938" s="74" t="s">
        <v>1224</v>
      </c>
      <c r="F1938" s="74" t="s">
        <v>1226</v>
      </c>
      <c r="G1938" s="74" t="s">
        <v>1226</v>
      </c>
    </row>
    <row r="1939" spans="1:7" x14ac:dyDescent="0.2">
      <c r="A1939" s="39">
        <v>8233</v>
      </c>
      <c r="B1939" s="38" t="s">
        <v>2191</v>
      </c>
      <c r="C1939" s="39" t="s">
        <v>2467</v>
      </c>
      <c r="D1939" s="74" t="s">
        <v>1227</v>
      </c>
      <c r="E1939" s="74" t="s">
        <v>1224</v>
      </c>
      <c r="F1939" s="74" t="s">
        <v>1226</v>
      </c>
      <c r="G1939" s="74" t="s">
        <v>1225</v>
      </c>
    </row>
    <row r="1940" spans="1:7" x14ac:dyDescent="0.2">
      <c r="A1940" s="39">
        <v>8234</v>
      </c>
      <c r="B1940" s="38" t="s">
        <v>2192</v>
      </c>
      <c r="C1940" s="39" t="s">
        <v>2467</v>
      </c>
      <c r="D1940" s="74" t="s">
        <v>1227</v>
      </c>
      <c r="E1940" s="74" t="s">
        <v>1224</v>
      </c>
      <c r="F1940" s="74" t="s">
        <v>1226</v>
      </c>
      <c r="G1940" s="74" t="s">
        <v>1225</v>
      </c>
    </row>
    <row r="1941" spans="1:7" x14ac:dyDescent="0.2">
      <c r="A1941" s="39">
        <v>8240</v>
      </c>
      <c r="B1941" s="38" t="s">
        <v>2193</v>
      </c>
      <c r="C1941" s="39" t="s">
        <v>2467</v>
      </c>
      <c r="D1941" s="74" t="s">
        <v>1227</v>
      </c>
      <c r="E1941" s="74" t="s">
        <v>1224</v>
      </c>
      <c r="F1941" s="74" t="s">
        <v>1226</v>
      </c>
      <c r="G1941" s="74" t="s">
        <v>1226</v>
      </c>
    </row>
    <row r="1942" spans="1:7" x14ac:dyDescent="0.2">
      <c r="A1942" s="39">
        <v>8241</v>
      </c>
      <c r="B1942" s="38" t="s">
        <v>2194</v>
      </c>
      <c r="C1942" s="39" t="s">
        <v>2467</v>
      </c>
      <c r="D1942" s="74" t="s">
        <v>1227</v>
      </c>
      <c r="E1942" s="74" t="s">
        <v>1224</v>
      </c>
      <c r="F1942" s="74" t="s">
        <v>1226</v>
      </c>
      <c r="G1942" s="74" t="s">
        <v>1226</v>
      </c>
    </row>
    <row r="1943" spans="1:7" x14ac:dyDescent="0.2">
      <c r="A1943" s="39">
        <v>8242</v>
      </c>
      <c r="B1943" s="38" t="s">
        <v>2195</v>
      </c>
      <c r="C1943" s="39" t="s">
        <v>2467</v>
      </c>
      <c r="D1943" s="74" t="s">
        <v>1227</v>
      </c>
      <c r="E1943" s="74" t="s">
        <v>1224</v>
      </c>
      <c r="F1943" s="74" t="s">
        <v>1226</v>
      </c>
      <c r="G1943" s="74" t="s">
        <v>1225</v>
      </c>
    </row>
    <row r="1944" spans="1:7" x14ac:dyDescent="0.2">
      <c r="A1944" s="39">
        <v>8243</v>
      </c>
      <c r="B1944" s="38" t="s">
        <v>2196</v>
      </c>
      <c r="C1944" s="39" t="s">
        <v>2467</v>
      </c>
      <c r="D1944" s="74" t="s">
        <v>1227</v>
      </c>
      <c r="E1944" s="74" t="s">
        <v>1224</v>
      </c>
      <c r="F1944" s="74" t="s">
        <v>1226</v>
      </c>
      <c r="G1944" s="74" t="s">
        <v>1226</v>
      </c>
    </row>
    <row r="1945" spans="1:7" x14ac:dyDescent="0.2">
      <c r="A1945" s="39">
        <v>8244</v>
      </c>
      <c r="B1945" s="38" t="s">
        <v>2197</v>
      </c>
      <c r="C1945" s="39" t="s">
        <v>2467</v>
      </c>
      <c r="D1945" s="74" t="s">
        <v>1227</v>
      </c>
      <c r="E1945" s="74" t="s">
        <v>1224</v>
      </c>
      <c r="F1945" s="74" t="s">
        <v>1226</v>
      </c>
      <c r="G1945" s="74" t="s">
        <v>1225</v>
      </c>
    </row>
    <row r="1946" spans="1:7" x14ac:dyDescent="0.2">
      <c r="A1946" s="39">
        <v>8250</v>
      </c>
      <c r="B1946" s="38" t="s">
        <v>2198</v>
      </c>
      <c r="C1946" s="39" t="s">
        <v>2467</v>
      </c>
      <c r="D1946" s="74" t="s">
        <v>1227</v>
      </c>
      <c r="E1946" s="74" t="s">
        <v>1224</v>
      </c>
      <c r="F1946" s="74" t="s">
        <v>1226</v>
      </c>
      <c r="G1946" s="74" t="s">
        <v>1226</v>
      </c>
    </row>
    <row r="1947" spans="1:7" x14ac:dyDescent="0.2">
      <c r="A1947" s="39">
        <v>8251</v>
      </c>
      <c r="B1947" s="38" t="s">
        <v>2199</v>
      </c>
      <c r="C1947" s="39" t="s">
        <v>2467</v>
      </c>
      <c r="D1947" s="74" t="s">
        <v>1227</v>
      </c>
      <c r="E1947" s="74" t="s">
        <v>1224</v>
      </c>
      <c r="F1947" s="74" t="s">
        <v>1226</v>
      </c>
      <c r="G1947" s="74" t="s">
        <v>1225</v>
      </c>
    </row>
    <row r="1948" spans="1:7" x14ac:dyDescent="0.2">
      <c r="A1948" s="39">
        <v>8252</v>
      </c>
      <c r="B1948" s="38" t="s">
        <v>2200</v>
      </c>
      <c r="C1948" s="39" t="s">
        <v>2467</v>
      </c>
      <c r="D1948" s="74" t="s">
        <v>1227</v>
      </c>
      <c r="E1948" s="74" t="s">
        <v>1224</v>
      </c>
      <c r="F1948" s="74" t="s">
        <v>1226</v>
      </c>
      <c r="G1948" s="74" t="s">
        <v>1225</v>
      </c>
    </row>
    <row r="1949" spans="1:7" x14ac:dyDescent="0.2">
      <c r="A1949" s="39">
        <v>8253</v>
      </c>
      <c r="B1949" s="38" t="s">
        <v>2201</v>
      </c>
      <c r="C1949" s="39" t="s">
        <v>2467</v>
      </c>
      <c r="D1949" s="74" t="s">
        <v>1227</v>
      </c>
      <c r="E1949" s="74" t="s">
        <v>1224</v>
      </c>
      <c r="F1949" s="74" t="s">
        <v>1226</v>
      </c>
      <c r="G1949" s="74" t="s">
        <v>1226</v>
      </c>
    </row>
    <row r="1950" spans="1:7" x14ac:dyDescent="0.2">
      <c r="A1950" s="39">
        <v>8254</v>
      </c>
      <c r="B1950" s="38" t="s">
        <v>2202</v>
      </c>
      <c r="C1950" s="39" t="s">
        <v>2467</v>
      </c>
      <c r="D1950" s="74" t="s">
        <v>1227</v>
      </c>
      <c r="E1950" s="74" t="s">
        <v>1224</v>
      </c>
      <c r="F1950" s="74" t="s">
        <v>1226</v>
      </c>
      <c r="G1950" s="74" t="s">
        <v>1226</v>
      </c>
    </row>
    <row r="1951" spans="1:7" x14ac:dyDescent="0.2">
      <c r="A1951" s="39">
        <v>8255</v>
      </c>
      <c r="B1951" s="38" t="s">
        <v>716</v>
      </c>
      <c r="C1951" s="39" t="s">
        <v>2467</v>
      </c>
      <c r="D1951" s="74" t="s">
        <v>1227</v>
      </c>
      <c r="E1951" s="74" t="s">
        <v>1224</v>
      </c>
      <c r="F1951" s="74" t="s">
        <v>1226</v>
      </c>
      <c r="G1951" s="74" t="s">
        <v>1225</v>
      </c>
    </row>
    <row r="1952" spans="1:7" x14ac:dyDescent="0.2">
      <c r="A1952" s="39">
        <v>8261</v>
      </c>
      <c r="B1952" s="38" t="s">
        <v>717</v>
      </c>
      <c r="C1952" s="39" t="s">
        <v>2467</v>
      </c>
      <c r="D1952" s="74" t="s">
        <v>1227</v>
      </c>
      <c r="E1952" s="74" t="s">
        <v>1224</v>
      </c>
      <c r="F1952" s="74" t="s">
        <v>1226</v>
      </c>
      <c r="G1952" s="74" t="s">
        <v>1226</v>
      </c>
    </row>
    <row r="1953" spans="1:7" x14ac:dyDescent="0.2">
      <c r="A1953" s="39">
        <v>8262</v>
      </c>
      <c r="B1953" s="38" t="s">
        <v>718</v>
      </c>
      <c r="C1953" s="39" t="s">
        <v>2467</v>
      </c>
      <c r="D1953" s="74" t="s">
        <v>1227</v>
      </c>
      <c r="E1953" s="74" t="s">
        <v>1224</v>
      </c>
      <c r="F1953" s="74" t="s">
        <v>1226</v>
      </c>
      <c r="G1953" s="74" t="s">
        <v>1226</v>
      </c>
    </row>
    <row r="1954" spans="1:7" x14ac:dyDescent="0.2">
      <c r="A1954" s="39">
        <v>8263</v>
      </c>
      <c r="B1954" s="38" t="s">
        <v>719</v>
      </c>
      <c r="C1954" s="39" t="s">
        <v>2467</v>
      </c>
      <c r="D1954" s="74" t="s">
        <v>1227</v>
      </c>
      <c r="E1954" s="74" t="s">
        <v>1224</v>
      </c>
      <c r="F1954" s="74" t="s">
        <v>1226</v>
      </c>
      <c r="G1954" s="74" t="s">
        <v>1226</v>
      </c>
    </row>
    <row r="1955" spans="1:7" x14ac:dyDescent="0.2">
      <c r="A1955" s="39">
        <v>8264</v>
      </c>
      <c r="B1955" s="38" t="s">
        <v>720</v>
      </c>
      <c r="C1955" s="39" t="s">
        <v>2467</v>
      </c>
      <c r="D1955" s="74" t="s">
        <v>1227</v>
      </c>
      <c r="E1955" s="74" t="s">
        <v>1224</v>
      </c>
      <c r="F1955" s="74" t="s">
        <v>1226</v>
      </c>
      <c r="G1955" s="74" t="s">
        <v>1225</v>
      </c>
    </row>
    <row r="1956" spans="1:7" x14ac:dyDescent="0.2">
      <c r="A1956" s="39">
        <v>8265</v>
      </c>
      <c r="B1956" s="38" t="s">
        <v>721</v>
      </c>
      <c r="C1956" s="39" t="s">
        <v>2467</v>
      </c>
      <c r="D1956" s="74" t="s">
        <v>1227</v>
      </c>
      <c r="E1956" s="74" t="s">
        <v>1224</v>
      </c>
      <c r="F1956" s="74" t="s">
        <v>1226</v>
      </c>
      <c r="G1956" s="74" t="s">
        <v>1225</v>
      </c>
    </row>
    <row r="1957" spans="1:7" x14ac:dyDescent="0.2">
      <c r="A1957" s="39">
        <v>8271</v>
      </c>
      <c r="B1957" s="38" t="s">
        <v>722</v>
      </c>
      <c r="C1957" s="39" t="s">
        <v>2467</v>
      </c>
      <c r="D1957" s="74" t="s">
        <v>1227</v>
      </c>
      <c r="E1957" s="74" t="s">
        <v>1224</v>
      </c>
      <c r="F1957" s="74" t="s">
        <v>1226</v>
      </c>
      <c r="G1957" s="74" t="s">
        <v>1226</v>
      </c>
    </row>
    <row r="1958" spans="1:7" x14ac:dyDescent="0.2">
      <c r="A1958" s="39">
        <v>8272</v>
      </c>
      <c r="B1958" s="38" t="s">
        <v>723</v>
      </c>
      <c r="C1958" s="39" t="s">
        <v>2467</v>
      </c>
      <c r="D1958" s="74" t="s">
        <v>1227</v>
      </c>
      <c r="E1958" s="74" t="s">
        <v>1224</v>
      </c>
      <c r="F1958" s="74" t="s">
        <v>1226</v>
      </c>
      <c r="G1958" s="74" t="s">
        <v>1225</v>
      </c>
    </row>
    <row r="1959" spans="1:7" x14ac:dyDescent="0.2">
      <c r="A1959" s="39">
        <v>8273</v>
      </c>
      <c r="B1959" s="38" t="s">
        <v>724</v>
      </c>
      <c r="C1959" s="39" t="s">
        <v>2467</v>
      </c>
      <c r="D1959" s="74" t="s">
        <v>1227</v>
      </c>
      <c r="E1959" s="74" t="s">
        <v>1224</v>
      </c>
      <c r="F1959" s="74" t="s">
        <v>1226</v>
      </c>
      <c r="G1959" s="74" t="s">
        <v>1225</v>
      </c>
    </row>
    <row r="1960" spans="1:7" x14ac:dyDescent="0.2">
      <c r="A1960" s="39">
        <v>8274</v>
      </c>
      <c r="B1960" s="38" t="s">
        <v>725</v>
      </c>
      <c r="C1960" s="39" t="s">
        <v>2467</v>
      </c>
      <c r="D1960" s="74" t="s">
        <v>1227</v>
      </c>
      <c r="E1960" s="74" t="s">
        <v>1224</v>
      </c>
      <c r="F1960" s="74" t="s">
        <v>1226</v>
      </c>
      <c r="G1960" s="74" t="s">
        <v>1225</v>
      </c>
    </row>
    <row r="1961" spans="1:7" x14ac:dyDescent="0.2">
      <c r="A1961" s="39">
        <v>8280</v>
      </c>
      <c r="B1961" s="38" t="s">
        <v>726</v>
      </c>
      <c r="C1961" s="39" t="s">
        <v>2467</v>
      </c>
      <c r="D1961" s="74" t="s">
        <v>1227</v>
      </c>
      <c r="E1961" s="74" t="s">
        <v>1224</v>
      </c>
      <c r="F1961" s="74" t="s">
        <v>1226</v>
      </c>
      <c r="G1961" s="74" t="s">
        <v>1226</v>
      </c>
    </row>
    <row r="1962" spans="1:7" x14ac:dyDescent="0.2">
      <c r="A1962" s="39">
        <v>8282</v>
      </c>
      <c r="B1962" s="38" t="s">
        <v>727</v>
      </c>
      <c r="C1962" s="39" t="s">
        <v>2467</v>
      </c>
      <c r="D1962" s="74" t="s">
        <v>1227</v>
      </c>
      <c r="E1962" s="74" t="s">
        <v>1224</v>
      </c>
      <c r="F1962" s="74" t="s">
        <v>1226</v>
      </c>
      <c r="G1962" s="74" t="s">
        <v>1226</v>
      </c>
    </row>
    <row r="1963" spans="1:7" x14ac:dyDescent="0.2">
      <c r="A1963" s="39">
        <v>8283</v>
      </c>
      <c r="B1963" s="38" t="s">
        <v>728</v>
      </c>
      <c r="C1963" s="39" t="s">
        <v>2467</v>
      </c>
      <c r="D1963" s="74" t="s">
        <v>1227</v>
      </c>
      <c r="E1963" s="74" t="s">
        <v>1224</v>
      </c>
      <c r="F1963" s="74" t="s">
        <v>1226</v>
      </c>
      <c r="G1963" s="74" t="s">
        <v>1226</v>
      </c>
    </row>
    <row r="1964" spans="1:7" x14ac:dyDescent="0.2">
      <c r="A1964" s="39">
        <v>8291</v>
      </c>
      <c r="B1964" s="38" t="s">
        <v>729</v>
      </c>
      <c r="C1964" s="39" t="s">
        <v>2467</v>
      </c>
      <c r="D1964" s="74" t="s">
        <v>1227</v>
      </c>
      <c r="E1964" s="74" t="s">
        <v>1224</v>
      </c>
      <c r="F1964" s="74" t="s">
        <v>1226</v>
      </c>
      <c r="G1964" s="74" t="s">
        <v>1225</v>
      </c>
    </row>
    <row r="1965" spans="1:7" x14ac:dyDescent="0.2">
      <c r="A1965" s="39">
        <v>8292</v>
      </c>
      <c r="B1965" s="38" t="s">
        <v>730</v>
      </c>
      <c r="C1965" s="39" t="s">
        <v>2467</v>
      </c>
      <c r="D1965" s="74" t="s">
        <v>1227</v>
      </c>
      <c r="E1965" s="74" t="s">
        <v>1224</v>
      </c>
      <c r="F1965" s="74" t="s">
        <v>1226</v>
      </c>
      <c r="G1965" s="74" t="s">
        <v>1226</v>
      </c>
    </row>
    <row r="1966" spans="1:7" x14ac:dyDescent="0.2">
      <c r="A1966" s="39">
        <v>8293</v>
      </c>
      <c r="B1966" s="38" t="s">
        <v>731</v>
      </c>
      <c r="C1966" s="39" t="s">
        <v>2467</v>
      </c>
      <c r="D1966" s="74" t="s">
        <v>1227</v>
      </c>
      <c r="E1966" s="74" t="s">
        <v>1224</v>
      </c>
      <c r="F1966" s="74" t="s">
        <v>1226</v>
      </c>
      <c r="G1966" s="74" t="s">
        <v>1225</v>
      </c>
    </row>
    <row r="1967" spans="1:7" x14ac:dyDescent="0.2">
      <c r="A1967" s="39">
        <v>8294</v>
      </c>
      <c r="B1967" s="38" t="s">
        <v>732</v>
      </c>
      <c r="C1967" s="39" t="s">
        <v>2467</v>
      </c>
      <c r="D1967" s="74" t="s">
        <v>1227</v>
      </c>
      <c r="E1967" s="74" t="s">
        <v>1224</v>
      </c>
      <c r="F1967" s="74" t="s">
        <v>1226</v>
      </c>
      <c r="G1967" s="74" t="s">
        <v>1225</v>
      </c>
    </row>
    <row r="1968" spans="1:7" x14ac:dyDescent="0.2">
      <c r="A1968" s="39">
        <v>8295</v>
      </c>
      <c r="B1968" s="38" t="s">
        <v>733</v>
      </c>
      <c r="C1968" s="39" t="s">
        <v>2467</v>
      </c>
      <c r="D1968" s="74" t="s">
        <v>1227</v>
      </c>
      <c r="E1968" s="74" t="s">
        <v>1224</v>
      </c>
      <c r="F1968" s="74" t="s">
        <v>1226</v>
      </c>
      <c r="G1968" s="74" t="s">
        <v>1226</v>
      </c>
    </row>
    <row r="1969" spans="1:7" x14ac:dyDescent="0.2">
      <c r="A1969" s="39">
        <v>8301</v>
      </c>
      <c r="B1969" s="38" t="s">
        <v>734</v>
      </c>
      <c r="C1969" s="39" t="s">
        <v>2467</v>
      </c>
      <c r="D1969" s="74" t="s">
        <v>1227</v>
      </c>
      <c r="E1969" s="74" t="s">
        <v>1224</v>
      </c>
      <c r="F1969" s="74" t="s">
        <v>1226</v>
      </c>
      <c r="G1969" s="74" t="s">
        <v>1226</v>
      </c>
    </row>
    <row r="1970" spans="1:7" x14ac:dyDescent="0.2">
      <c r="A1970" s="39">
        <v>8302</v>
      </c>
      <c r="B1970" s="38" t="s">
        <v>735</v>
      </c>
      <c r="C1970" s="39" t="s">
        <v>2467</v>
      </c>
      <c r="D1970" s="74" t="s">
        <v>1227</v>
      </c>
      <c r="E1970" s="74" t="s">
        <v>1224</v>
      </c>
      <c r="F1970" s="74" t="s">
        <v>1226</v>
      </c>
      <c r="G1970" s="74" t="s">
        <v>1225</v>
      </c>
    </row>
    <row r="1971" spans="1:7" x14ac:dyDescent="0.2">
      <c r="A1971" s="39">
        <v>8311</v>
      </c>
      <c r="B1971" s="38" t="s">
        <v>736</v>
      </c>
      <c r="C1971" s="39" t="s">
        <v>2467</v>
      </c>
      <c r="D1971" s="74" t="s">
        <v>1227</v>
      </c>
      <c r="E1971" s="74" t="s">
        <v>1224</v>
      </c>
      <c r="F1971" s="74" t="s">
        <v>1226</v>
      </c>
      <c r="G1971" s="74" t="s">
        <v>1226</v>
      </c>
    </row>
    <row r="1972" spans="1:7" x14ac:dyDescent="0.2">
      <c r="A1972" s="39">
        <v>8312</v>
      </c>
      <c r="B1972" s="38" t="s">
        <v>737</v>
      </c>
      <c r="C1972" s="39" t="s">
        <v>2467</v>
      </c>
      <c r="D1972" s="74" t="s">
        <v>1227</v>
      </c>
      <c r="E1972" s="74" t="s">
        <v>1224</v>
      </c>
      <c r="F1972" s="74" t="s">
        <v>1226</v>
      </c>
      <c r="G1972" s="74" t="s">
        <v>1225</v>
      </c>
    </row>
    <row r="1973" spans="1:7" x14ac:dyDescent="0.2">
      <c r="A1973" s="39">
        <v>8313</v>
      </c>
      <c r="B1973" s="38" t="s">
        <v>738</v>
      </c>
      <c r="C1973" s="39" t="s">
        <v>2467</v>
      </c>
      <c r="D1973" s="74" t="s">
        <v>1227</v>
      </c>
      <c r="E1973" s="74" t="s">
        <v>1224</v>
      </c>
      <c r="F1973" s="74" t="s">
        <v>1226</v>
      </c>
      <c r="G1973" s="74" t="s">
        <v>1226</v>
      </c>
    </row>
    <row r="1974" spans="1:7" x14ac:dyDescent="0.2">
      <c r="A1974" s="39">
        <v>8321</v>
      </c>
      <c r="B1974" s="38" t="s">
        <v>739</v>
      </c>
      <c r="C1974" s="39" t="s">
        <v>2467</v>
      </c>
      <c r="D1974" s="74" t="s">
        <v>1227</v>
      </c>
      <c r="E1974" s="74" t="s">
        <v>1224</v>
      </c>
      <c r="F1974" s="74" t="s">
        <v>1226</v>
      </c>
      <c r="G1974" s="74" t="s">
        <v>1226</v>
      </c>
    </row>
    <row r="1975" spans="1:7" x14ac:dyDescent="0.2">
      <c r="A1975" s="39">
        <v>8322</v>
      </c>
      <c r="B1975" s="38" t="s">
        <v>740</v>
      </c>
      <c r="C1975" s="39" t="s">
        <v>2467</v>
      </c>
      <c r="D1975" s="74" t="s">
        <v>1227</v>
      </c>
      <c r="E1975" s="74" t="s">
        <v>1224</v>
      </c>
      <c r="F1975" s="74" t="s">
        <v>1226</v>
      </c>
      <c r="G1975" s="74" t="s">
        <v>1226</v>
      </c>
    </row>
    <row r="1976" spans="1:7" x14ac:dyDescent="0.2">
      <c r="A1976" s="39">
        <v>8323</v>
      </c>
      <c r="B1976" s="38" t="s">
        <v>741</v>
      </c>
      <c r="C1976" s="39" t="s">
        <v>2467</v>
      </c>
      <c r="D1976" s="74" t="s">
        <v>1227</v>
      </c>
      <c r="E1976" s="74" t="s">
        <v>1224</v>
      </c>
      <c r="F1976" s="74" t="s">
        <v>1226</v>
      </c>
      <c r="G1976" s="74" t="s">
        <v>1226</v>
      </c>
    </row>
    <row r="1977" spans="1:7" x14ac:dyDescent="0.2">
      <c r="A1977" s="39">
        <v>8324</v>
      </c>
      <c r="B1977" s="38" t="s">
        <v>742</v>
      </c>
      <c r="C1977" s="39" t="s">
        <v>2467</v>
      </c>
      <c r="D1977" s="74" t="s">
        <v>1227</v>
      </c>
      <c r="E1977" s="74" t="s">
        <v>1224</v>
      </c>
      <c r="F1977" s="74" t="s">
        <v>1226</v>
      </c>
      <c r="G1977" s="74" t="s">
        <v>1225</v>
      </c>
    </row>
    <row r="1978" spans="1:7" x14ac:dyDescent="0.2">
      <c r="A1978" s="39">
        <v>8330</v>
      </c>
      <c r="B1978" s="38" t="s">
        <v>743</v>
      </c>
      <c r="C1978" s="39" t="s">
        <v>2467</v>
      </c>
      <c r="D1978" s="74" t="s">
        <v>1227</v>
      </c>
      <c r="E1978" s="74" t="s">
        <v>1224</v>
      </c>
      <c r="F1978" s="74" t="s">
        <v>1226</v>
      </c>
      <c r="G1978" s="74" t="s">
        <v>1226</v>
      </c>
    </row>
    <row r="1979" spans="1:7" x14ac:dyDescent="0.2">
      <c r="A1979" s="39">
        <v>8332</v>
      </c>
      <c r="B1979" s="38" t="s">
        <v>744</v>
      </c>
      <c r="C1979" s="39" t="s">
        <v>2467</v>
      </c>
      <c r="D1979" s="74" t="s">
        <v>1227</v>
      </c>
      <c r="E1979" s="74" t="s">
        <v>1224</v>
      </c>
      <c r="F1979" s="74" t="s">
        <v>1226</v>
      </c>
      <c r="G1979" s="74" t="s">
        <v>1225</v>
      </c>
    </row>
    <row r="1980" spans="1:7" x14ac:dyDescent="0.2">
      <c r="A1980" s="39">
        <v>8333</v>
      </c>
      <c r="B1980" s="38" t="s">
        <v>1272</v>
      </c>
      <c r="C1980" s="39" t="s">
        <v>2467</v>
      </c>
      <c r="D1980" s="74" t="s">
        <v>1227</v>
      </c>
      <c r="E1980" s="74" t="s">
        <v>1224</v>
      </c>
      <c r="F1980" s="74" t="s">
        <v>1226</v>
      </c>
      <c r="G1980" s="74" t="s">
        <v>1225</v>
      </c>
    </row>
    <row r="1981" spans="1:7" x14ac:dyDescent="0.2">
      <c r="A1981" s="39">
        <v>8334</v>
      </c>
      <c r="B1981" s="38" t="s">
        <v>745</v>
      </c>
      <c r="C1981" s="39" t="s">
        <v>2467</v>
      </c>
      <c r="D1981" s="74" t="s">
        <v>1227</v>
      </c>
      <c r="E1981" s="74" t="s">
        <v>1224</v>
      </c>
      <c r="F1981" s="74" t="s">
        <v>1226</v>
      </c>
      <c r="G1981" s="74" t="s">
        <v>1225</v>
      </c>
    </row>
    <row r="1982" spans="1:7" x14ac:dyDescent="0.2">
      <c r="A1982" s="39">
        <v>8341</v>
      </c>
      <c r="B1982" s="38" t="s">
        <v>746</v>
      </c>
      <c r="C1982" s="39" t="s">
        <v>2467</v>
      </c>
      <c r="D1982" s="74" t="s">
        <v>1227</v>
      </c>
      <c r="E1982" s="74" t="s">
        <v>1224</v>
      </c>
      <c r="F1982" s="74" t="s">
        <v>1226</v>
      </c>
      <c r="G1982" s="74" t="s">
        <v>1226</v>
      </c>
    </row>
    <row r="1983" spans="1:7" x14ac:dyDescent="0.2">
      <c r="A1983" s="39">
        <v>8342</v>
      </c>
      <c r="B1983" s="38" t="s">
        <v>747</v>
      </c>
      <c r="C1983" s="39" t="s">
        <v>2467</v>
      </c>
      <c r="D1983" s="74" t="s">
        <v>1227</v>
      </c>
      <c r="E1983" s="74" t="s">
        <v>1224</v>
      </c>
      <c r="F1983" s="74" t="s">
        <v>1226</v>
      </c>
      <c r="G1983" s="74" t="s">
        <v>1226</v>
      </c>
    </row>
    <row r="1984" spans="1:7" x14ac:dyDescent="0.2">
      <c r="A1984" s="39">
        <v>8343</v>
      </c>
      <c r="B1984" s="38" t="s">
        <v>748</v>
      </c>
      <c r="C1984" s="39" t="s">
        <v>2467</v>
      </c>
      <c r="D1984" s="74" t="s">
        <v>1227</v>
      </c>
      <c r="E1984" s="74" t="s">
        <v>1224</v>
      </c>
      <c r="F1984" s="74" t="s">
        <v>1226</v>
      </c>
      <c r="G1984" s="74" t="s">
        <v>1225</v>
      </c>
    </row>
    <row r="1985" spans="1:7" x14ac:dyDescent="0.2">
      <c r="A1985" s="39">
        <v>8344</v>
      </c>
      <c r="B1985" s="38" t="s">
        <v>116</v>
      </c>
      <c r="C1985" s="39" t="s">
        <v>2467</v>
      </c>
      <c r="D1985" s="74" t="s">
        <v>1227</v>
      </c>
      <c r="E1985" s="74" t="s">
        <v>1224</v>
      </c>
      <c r="F1985" s="74" t="s">
        <v>1226</v>
      </c>
      <c r="G1985" s="74" t="s">
        <v>1226</v>
      </c>
    </row>
    <row r="1986" spans="1:7" x14ac:dyDescent="0.2">
      <c r="A1986" s="39">
        <v>8345</v>
      </c>
      <c r="B1986" s="38" t="s">
        <v>749</v>
      </c>
      <c r="C1986" s="39" t="s">
        <v>2467</v>
      </c>
      <c r="D1986" s="74" t="s">
        <v>1227</v>
      </c>
      <c r="E1986" s="74" t="s">
        <v>1224</v>
      </c>
      <c r="F1986" s="74" t="s">
        <v>1226</v>
      </c>
      <c r="G1986" s="74" t="s">
        <v>1226</v>
      </c>
    </row>
    <row r="1987" spans="1:7" x14ac:dyDescent="0.2">
      <c r="A1987" s="39">
        <v>8350</v>
      </c>
      <c r="B1987" s="38" t="s">
        <v>750</v>
      </c>
      <c r="C1987" s="39" t="s">
        <v>2467</v>
      </c>
      <c r="D1987" s="74" t="s">
        <v>1227</v>
      </c>
      <c r="E1987" s="74" t="s">
        <v>1224</v>
      </c>
      <c r="F1987" s="74" t="s">
        <v>1226</v>
      </c>
      <c r="G1987" s="74" t="s">
        <v>1226</v>
      </c>
    </row>
    <row r="1988" spans="1:7" x14ac:dyDescent="0.2">
      <c r="A1988" s="39">
        <v>8352</v>
      </c>
      <c r="B1988" s="38" t="s">
        <v>751</v>
      </c>
      <c r="C1988" s="39" t="s">
        <v>2467</v>
      </c>
      <c r="D1988" s="74" t="s">
        <v>1227</v>
      </c>
      <c r="E1988" s="74" t="s">
        <v>1224</v>
      </c>
      <c r="F1988" s="74" t="s">
        <v>1226</v>
      </c>
      <c r="G1988" s="74" t="s">
        <v>1225</v>
      </c>
    </row>
    <row r="1989" spans="1:7" x14ac:dyDescent="0.2">
      <c r="A1989" s="39">
        <v>8353</v>
      </c>
      <c r="B1989" s="38" t="s">
        <v>752</v>
      </c>
      <c r="C1989" s="39" t="s">
        <v>2467</v>
      </c>
      <c r="D1989" s="74" t="s">
        <v>1227</v>
      </c>
      <c r="E1989" s="74" t="s">
        <v>1224</v>
      </c>
      <c r="F1989" s="74" t="s">
        <v>1226</v>
      </c>
      <c r="G1989" s="74" t="s">
        <v>1225</v>
      </c>
    </row>
    <row r="1990" spans="1:7" x14ac:dyDescent="0.2">
      <c r="A1990" s="39">
        <v>8354</v>
      </c>
      <c r="B1990" s="38" t="s">
        <v>753</v>
      </c>
      <c r="C1990" s="39" t="s">
        <v>2467</v>
      </c>
      <c r="D1990" s="74" t="s">
        <v>1227</v>
      </c>
      <c r="E1990" s="74" t="s">
        <v>1224</v>
      </c>
      <c r="F1990" s="74" t="s">
        <v>1226</v>
      </c>
      <c r="G1990" s="74" t="s">
        <v>1226</v>
      </c>
    </row>
    <row r="1991" spans="1:7" x14ac:dyDescent="0.2">
      <c r="A1991" s="39">
        <v>8355</v>
      </c>
      <c r="B1991" s="38" t="s">
        <v>754</v>
      </c>
      <c r="C1991" s="39" t="s">
        <v>2467</v>
      </c>
      <c r="D1991" s="74" t="s">
        <v>1227</v>
      </c>
      <c r="E1991" s="74" t="s">
        <v>1224</v>
      </c>
      <c r="F1991" s="74" t="s">
        <v>1226</v>
      </c>
      <c r="G1991" s="74" t="s">
        <v>1225</v>
      </c>
    </row>
    <row r="1992" spans="1:7" x14ac:dyDescent="0.2">
      <c r="A1992" s="39">
        <v>8361</v>
      </c>
      <c r="B1992" s="38" t="s">
        <v>755</v>
      </c>
      <c r="C1992" s="39" t="s">
        <v>2467</v>
      </c>
      <c r="D1992" s="74" t="s">
        <v>1227</v>
      </c>
      <c r="E1992" s="74" t="s">
        <v>1224</v>
      </c>
      <c r="F1992" s="74" t="s">
        <v>1226</v>
      </c>
      <c r="G1992" s="74" t="s">
        <v>1225</v>
      </c>
    </row>
    <row r="1993" spans="1:7" x14ac:dyDescent="0.2">
      <c r="A1993" s="39">
        <v>8362</v>
      </c>
      <c r="B1993" s="38" t="s">
        <v>756</v>
      </c>
      <c r="C1993" s="39" t="s">
        <v>2467</v>
      </c>
      <c r="D1993" s="74" t="s">
        <v>1227</v>
      </c>
      <c r="E1993" s="74" t="s">
        <v>1224</v>
      </c>
      <c r="F1993" s="74" t="s">
        <v>1226</v>
      </c>
      <c r="G1993" s="74" t="s">
        <v>1225</v>
      </c>
    </row>
    <row r="1994" spans="1:7" x14ac:dyDescent="0.2">
      <c r="A1994" s="39">
        <v>8380</v>
      </c>
      <c r="B1994" s="38" t="s">
        <v>764</v>
      </c>
      <c r="C1994" s="39" t="s">
        <v>1748</v>
      </c>
      <c r="D1994" s="74" t="s">
        <v>1227</v>
      </c>
      <c r="E1994" s="74" t="s">
        <v>1224</v>
      </c>
      <c r="F1994" s="74" t="s">
        <v>1226</v>
      </c>
      <c r="G1994" s="74" t="s">
        <v>1226</v>
      </c>
    </row>
    <row r="1995" spans="1:7" x14ac:dyDescent="0.2">
      <c r="A1995" s="39">
        <v>8382</v>
      </c>
      <c r="B1995" s="38" t="s">
        <v>765</v>
      </c>
      <c r="C1995" s="39" t="s">
        <v>1748</v>
      </c>
      <c r="D1995" s="74" t="s">
        <v>1227</v>
      </c>
      <c r="E1995" s="74" t="s">
        <v>1224</v>
      </c>
      <c r="F1995" s="74" t="s">
        <v>1226</v>
      </c>
      <c r="G1995" s="74" t="s">
        <v>1225</v>
      </c>
    </row>
    <row r="1996" spans="1:7" x14ac:dyDescent="0.2">
      <c r="A1996" s="39">
        <v>8383</v>
      </c>
      <c r="B1996" s="38" t="s">
        <v>766</v>
      </c>
      <c r="C1996" s="39" t="s">
        <v>1748</v>
      </c>
      <c r="D1996" s="74" t="s">
        <v>1227</v>
      </c>
      <c r="E1996" s="74" t="s">
        <v>1224</v>
      </c>
      <c r="F1996" s="74" t="s">
        <v>1226</v>
      </c>
      <c r="G1996" s="74" t="s">
        <v>1225</v>
      </c>
    </row>
    <row r="1997" spans="1:7" x14ac:dyDescent="0.2">
      <c r="A1997" s="39">
        <v>8384</v>
      </c>
      <c r="B1997" s="38" t="s">
        <v>767</v>
      </c>
      <c r="C1997" s="39" t="s">
        <v>1748</v>
      </c>
      <c r="D1997" s="74" t="s">
        <v>1227</v>
      </c>
      <c r="E1997" s="74" t="s">
        <v>1224</v>
      </c>
      <c r="F1997" s="74" t="s">
        <v>1226</v>
      </c>
      <c r="G1997" s="74" t="s">
        <v>1226</v>
      </c>
    </row>
    <row r="1998" spans="1:7" x14ac:dyDescent="0.2">
      <c r="A1998" s="39">
        <v>8385</v>
      </c>
      <c r="B1998" s="38" t="s">
        <v>768</v>
      </c>
      <c r="C1998" s="39" t="s">
        <v>1748</v>
      </c>
      <c r="D1998" s="74" t="s">
        <v>1227</v>
      </c>
      <c r="E1998" s="74" t="s">
        <v>1224</v>
      </c>
      <c r="F1998" s="74" t="s">
        <v>1226</v>
      </c>
      <c r="G1998" s="74" t="s">
        <v>1225</v>
      </c>
    </row>
    <row r="1999" spans="1:7" x14ac:dyDescent="0.2">
      <c r="A1999" s="39">
        <v>8401</v>
      </c>
      <c r="B1999" s="38" t="s">
        <v>769</v>
      </c>
      <c r="C1999" s="39" t="s">
        <v>2467</v>
      </c>
      <c r="D1999" s="74" t="s">
        <v>1227</v>
      </c>
      <c r="E1999" s="74" t="s">
        <v>1224</v>
      </c>
      <c r="F1999" s="74" t="s">
        <v>1226</v>
      </c>
      <c r="G1999" s="74" t="s">
        <v>1226</v>
      </c>
    </row>
    <row r="2000" spans="1:7" x14ac:dyDescent="0.2">
      <c r="A2000" s="39">
        <v>8402</v>
      </c>
      <c r="B2000" s="38" t="s">
        <v>770</v>
      </c>
      <c r="C2000" s="39" t="s">
        <v>2467</v>
      </c>
      <c r="D2000" s="74" t="s">
        <v>1227</v>
      </c>
      <c r="E2000" s="74" t="s">
        <v>1224</v>
      </c>
      <c r="F2000" s="74" t="s">
        <v>1226</v>
      </c>
      <c r="G2000" s="74" t="s">
        <v>1225</v>
      </c>
    </row>
    <row r="2001" spans="1:7" x14ac:dyDescent="0.2">
      <c r="A2001" s="39">
        <v>8403</v>
      </c>
      <c r="B2001" s="38" t="s">
        <v>771</v>
      </c>
      <c r="C2001" s="39" t="s">
        <v>2467</v>
      </c>
      <c r="D2001" s="74" t="s">
        <v>1227</v>
      </c>
      <c r="E2001" s="74" t="s">
        <v>1224</v>
      </c>
      <c r="F2001" s="74" t="s">
        <v>1226</v>
      </c>
      <c r="G2001" s="74" t="s">
        <v>1226</v>
      </c>
    </row>
    <row r="2002" spans="1:7" x14ac:dyDescent="0.2">
      <c r="A2002" s="39">
        <v>8410</v>
      </c>
      <c r="B2002" s="38" t="s">
        <v>772</v>
      </c>
      <c r="C2002" s="39" t="s">
        <v>2467</v>
      </c>
      <c r="D2002" s="74" t="s">
        <v>1227</v>
      </c>
      <c r="E2002" s="74" t="s">
        <v>1224</v>
      </c>
      <c r="F2002" s="74" t="s">
        <v>1226</v>
      </c>
      <c r="G2002" s="74" t="s">
        <v>1226</v>
      </c>
    </row>
    <row r="2003" spans="1:7" x14ac:dyDescent="0.2">
      <c r="A2003" s="39">
        <v>8411</v>
      </c>
      <c r="B2003" s="38" t="s">
        <v>773</v>
      </c>
      <c r="C2003" s="39" t="s">
        <v>2467</v>
      </c>
      <c r="D2003" s="74" t="s">
        <v>1227</v>
      </c>
      <c r="E2003" s="74" t="s">
        <v>1224</v>
      </c>
      <c r="F2003" s="74" t="s">
        <v>1226</v>
      </c>
      <c r="G2003" s="74" t="s">
        <v>1225</v>
      </c>
    </row>
    <row r="2004" spans="1:7" x14ac:dyDescent="0.2">
      <c r="A2004" s="39">
        <v>8412</v>
      </c>
      <c r="B2004" s="38" t="s">
        <v>774</v>
      </c>
      <c r="C2004" s="39" t="s">
        <v>2467</v>
      </c>
      <c r="D2004" s="74" t="s">
        <v>1227</v>
      </c>
      <c r="E2004" s="74" t="s">
        <v>1224</v>
      </c>
      <c r="F2004" s="74" t="s">
        <v>1226</v>
      </c>
      <c r="G2004" s="74" t="s">
        <v>1225</v>
      </c>
    </row>
    <row r="2005" spans="1:7" x14ac:dyDescent="0.2">
      <c r="A2005" s="39">
        <v>8413</v>
      </c>
      <c r="B2005" s="38" t="s">
        <v>775</v>
      </c>
      <c r="C2005" s="39" t="s">
        <v>2467</v>
      </c>
      <c r="D2005" s="74" t="s">
        <v>1227</v>
      </c>
      <c r="E2005" s="74" t="s">
        <v>1224</v>
      </c>
      <c r="F2005" s="74" t="s">
        <v>1226</v>
      </c>
      <c r="G2005" s="74" t="s">
        <v>1225</v>
      </c>
    </row>
    <row r="2006" spans="1:7" x14ac:dyDescent="0.2">
      <c r="A2006" s="39">
        <v>8421</v>
      </c>
      <c r="B2006" s="38" t="s">
        <v>776</v>
      </c>
      <c r="C2006" s="39" t="s">
        <v>2467</v>
      </c>
      <c r="D2006" s="74" t="s">
        <v>1227</v>
      </c>
      <c r="E2006" s="74" t="s">
        <v>1224</v>
      </c>
      <c r="F2006" s="74" t="s">
        <v>1226</v>
      </c>
      <c r="G2006" s="74" t="s">
        <v>1226</v>
      </c>
    </row>
    <row r="2007" spans="1:7" x14ac:dyDescent="0.2">
      <c r="A2007" s="39">
        <v>8422</v>
      </c>
      <c r="B2007" s="38" t="s">
        <v>777</v>
      </c>
      <c r="C2007" s="39" t="s">
        <v>2467</v>
      </c>
      <c r="D2007" s="74" t="s">
        <v>1227</v>
      </c>
      <c r="E2007" s="74" t="s">
        <v>1224</v>
      </c>
      <c r="F2007" s="74" t="s">
        <v>1226</v>
      </c>
      <c r="G2007" s="74" t="s">
        <v>1225</v>
      </c>
    </row>
    <row r="2008" spans="1:7" x14ac:dyDescent="0.2">
      <c r="A2008" s="39">
        <v>8423</v>
      </c>
      <c r="B2008" s="38" t="s">
        <v>778</v>
      </c>
      <c r="C2008" s="39" t="s">
        <v>2467</v>
      </c>
      <c r="D2008" s="74" t="s">
        <v>1227</v>
      </c>
      <c r="E2008" s="74" t="s">
        <v>1224</v>
      </c>
      <c r="F2008" s="74" t="s">
        <v>1226</v>
      </c>
      <c r="G2008" s="74" t="s">
        <v>1225</v>
      </c>
    </row>
    <row r="2009" spans="1:7" x14ac:dyDescent="0.2">
      <c r="A2009" s="39">
        <v>8424</v>
      </c>
      <c r="B2009" s="38" t="s">
        <v>779</v>
      </c>
      <c r="C2009" s="39" t="s">
        <v>2467</v>
      </c>
      <c r="D2009" s="74" t="s">
        <v>1227</v>
      </c>
      <c r="E2009" s="74" t="s">
        <v>1224</v>
      </c>
      <c r="F2009" s="74" t="s">
        <v>1226</v>
      </c>
      <c r="G2009" s="74" t="s">
        <v>1225</v>
      </c>
    </row>
    <row r="2010" spans="1:7" x14ac:dyDescent="0.2">
      <c r="A2010" s="39">
        <v>8430</v>
      </c>
      <c r="B2010" s="38" t="s">
        <v>780</v>
      </c>
      <c r="C2010" s="39" t="s">
        <v>2467</v>
      </c>
      <c r="D2010" s="74" t="s">
        <v>1227</v>
      </c>
      <c r="E2010" s="74" t="s">
        <v>1224</v>
      </c>
      <c r="F2010" s="74" t="s">
        <v>1226</v>
      </c>
      <c r="G2010" s="74" t="s">
        <v>1226</v>
      </c>
    </row>
    <row r="2011" spans="1:7" x14ac:dyDescent="0.2">
      <c r="A2011" s="39">
        <v>8435</v>
      </c>
      <c r="B2011" s="38" t="s">
        <v>781</v>
      </c>
      <c r="C2011" s="39" t="s">
        <v>2467</v>
      </c>
      <c r="D2011" s="74" t="s">
        <v>1227</v>
      </c>
      <c r="E2011" s="74" t="s">
        <v>1224</v>
      </c>
      <c r="F2011" s="74" t="s">
        <v>1226</v>
      </c>
      <c r="G2011" s="74" t="s">
        <v>1226</v>
      </c>
    </row>
    <row r="2012" spans="1:7" x14ac:dyDescent="0.2">
      <c r="A2012" s="39">
        <v>8441</v>
      </c>
      <c r="B2012" s="38" t="s">
        <v>782</v>
      </c>
      <c r="C2012" s="39" t="s">
        <v>2467</v>
      </c>
      <c r="D2012" s="74" t="s">
        <v>1227</v>
      </c>
      <c r="E2012" s="74" t="s">
        <v>1224</v>
      </c>
      <c r="F2012" s="74" t="s">
        <v>1226</v>
      </c>
      <c r="G2012" s="74" t="s">
        <v>1226</v>
      </c>
    </row>
    <row r="2013" spans="1:7" x14ac:dyDescent="0.2">
      <c r="A2013" s="39">
        <v>8442</v>
      </c>
      <c r="B2013" s="38" t="s">
        <v>783</v>
      </c>
      <c r="C2013" s="39" t="s">
        <v>2467</v>
      </c>
      <c r="D2013" s="74" t="s">
        <v>1227</v>
      </c>
      <c r="E2013" s="74" t="s">
        <v>1224</v>
      </c>
      <c r="F2013" s="74" t="s">
        <v>1226</v>
      </c>
      <c r="G2013" s="74" t="s">
        <v>1225</v>
      </c>
    </row>
    <row r="2014" spans="1:7" x14ac:dyDescent="0.2">
      <c r="A2014" s="39">
        <v>8443</v>
      </c>
      <c r="B2014" s="38" t="s">
        <v>784</v>
      </c>
      <c r="C2014" s="39" t="s">
        <v>2467</v>
      </c>
      <c r="D2014" s="74" t="s">
        <v>1227</v>
      </c>
      <c r="E2014" s="74" t="s">
        <v>1224</v>
      </c>
      <c r="F2014" s="74" t="s">
        <v>1226</v>
      </c>
      <c r="G2014" s="74" t="s">
        <v>1226</v>
      </c>
    </row>
    <row r="2015" spans="1:7" x14ac:dyDescent="0.2">
      <c r="A2015" s="39">
        <v>8444</v>
      </c>
      <c r="B2015" s="38" t="s">
        <v>785</v>
      </c>
      <c r="C2015" s="39" t="s">
        <v>2467</v>
      </c>
      <c r="D2015" s="74" t="s">
        <v>1227</v>
      </c>
      <c r="E2015" s="74" t="s">
        <v>1224</v>
      </c>
      <c r="F2015" s="74" t="s">
        <v>1226</v>
      </c>
      <c r="G2015" s="74" t="s">
        <v>1225</v>
      </c>
    </row>
    <row r="2016" spans="1:7" x14ac:dyDescent="0.2">
      <c r="A2016" s="39">
        <v>8451</v>
      </c>
      <c r="B2016" s="38" t="s">
        <v>786</v>
      </c>
      <c r="C2016" s="39" t="s">
        <v>2467</v>
      </c>
      <c r="D2016" s="74" t="s">
        <v>1227</v>
      </c>
      <c r="E2016" s="74" t="s">
        <v>1224</v>
      </c>
      <c r="F2016" s="74" t="s">
        <v>1226</v>
      </c>
      <c r="G2016" s="74" t="s">
        <v>1225</v>
      </c>
    </row>
    <row r="2017" spans="1:7" x14ac:dyDescent="0.2">
      <c r="A2017" s="39">
        <v>8452</v>
      </c>
      <c r="B2017" s="38" t="s">
        <v>787</v>
      </c>
      <c r="C2017" s="39" t="s">
        <v>2467</v>
      </c>
      <c r="D2017" s="74" t="s">
        <v>1227</v>
      </c>
      <c r="E2017" s="74" t="s">
        <v>1224</v>
      </c>
      <c r="F2017" s="74" t="s">
        <v>1226</v>
      </c>
      <c r="G2017" s="74" t="s">
        <v>1226</v>
      </c>
    </row>
    <row r="2018" spans="1:7" x14ac:dyDescent="0.2">
      <c r="A2018" s="39">
        <v>8453</v>
      </c>
      <c r="B2018" s="38" t="s">
        <v>788</v>
      </c>
      <c r="C2018" s="39" t="s">
        <v>2467</v>
      </c>
      <c r="D2018" s="74" t="s">
        <v>1227</v>
      </c>
      <c r="E2018" s="74" t="s">
        <v>1224</v>
      </c>
      <c r="F2018" s="74" t="s">
        <v>1226</v>
      </c>
      <c r="G2018" s="74" t="s">
        <v>1225</v>
      </c>
    </row>
    <row r="2019" spans="1:7" x14ac:dyDescent="0.2">
      <c r="A2019" s="39">
        <v>8454</v>
      </c>
      <c r="B2019" s="38" t="s">
        <v>789</v>
      </c>
      <c r="C2019" s="39" t="s">
        <v>2467</v>
      </c>
      <c r="D2019" s="74" t="s">
        <v>1227</v>
      </c>
      <c r="E2019" s="74" t="s">
        <v>1224</v>
      </c>
      <c r="F2019" s="74" t="s">
        <v>1226</v>
      </c>
      <c r="G2019" s="74" t="s">
        <v>1226</v>
      </c>
    </row>
    <row r="2020" spans="1:7" x14ac:dyDescent="0.2">
      <c r="A2020" s="39">
        <v>8455</v>
      </c>
      <c r="B2020" s="38" t="s">
        <v>790</v>
      </c>
      <c r="C2020" s="39" t="s">
        <v>2467</v>
      </c>
      <c r="D2020" s="74" t="s">
        <v>1227</v>
      </c>
      <c r="E2020" s="74" t="s">
        <v>1224</v>
      </c>
      <c r="F2020" s="74" t="s">
        <v>1226</v>
      </c>
      <c r="G2020" s="74" t="s">
        <v>1225</v>
      </c>
    </row>
    <row r="2021" spans="1:7" x14ac:dyDescent="0.2">
      <c r="A2021" s="39">
        <v>8461</v>
      </c>
      <c r="B2021" s="38" t="s">
        <v>791</v>
      </c>
      <c r="C2021" s="39" t="s">
        <v>2467</v>
      </c>
      <c r="D2021" s="74" t="s">
        <v>1227</v>
      </c>
      <c r="E2021" s="74" t="s">
        <v>1224</v>
      </c>
      <c r="F2021" s="74" t="s">
        <v>1226</v>
      </c>
      <c r="G2021" s="74" t="s">
        <v>1226</v>
      </c>
    </row>
    <row r="2022" spans="1:7" x14ac:dyDescent="0.2">
      <c r="A2022" s="39">
        <v>8462</v>
      </c>
      <c r="B2022" s="38" t="s">
        <v>792</v>
      </c>
      <c r="C2022" s="39" t="s">
        <v>2467</v>
      </c>
      <c r="D2022" s="74" t="s">
        <v>1227</v>
      </c>
      <c r="E2022" s="74" t="s">
        <v>1224</v>
      </c>
      <c r="F2022" s="74" t="s">
        <v>1226</v>
      </c>
      <c r="G2022" s="74" t="s">
        <v>1226</v>
      </c>
    </row>
    <row r="2023" spans="1:7" x14ac:dyDescent="0.2">
      <c r="A2023" s="39">
        <v>8463</v>
      </c>
      <c r="B2023" s="38" t="s">
        <v>793</v>
      </c>
      <c r="C2023" s="39" t="s">
        <v>2467</v>
      </c>
      <c r="D2023" s="74" t="s">
        <v>1227</v>
      </c>
      <c r="E2023" s="74" t="s">
        <v>1224</v>
      </c>
      <c r="F2023" s="74" t="s">
        <v>1226</v>
      </c>
      <c r="G2023" s="74" t="s">
        <v>1226</v>
      </c>
    </row>
    <row r="2024" spans="1:7" x14ac:dyDescent="0.2">
      <c r="A2024" s="39">
        <v>8471</v>
      </c>
      <c r="B2024" s="38" t="s">
        <v>794</v>
      </c>
      <c r="C2024" s="39" t="s">
        <v>2467</v>
      </c>
      <c r="D2024" s="74" t="s">
        <v>1227</v>
      </c>
      <c r="E2024" s="74" t="s">
        <v>1224</v>
      </c>
      <c r="F2024" s="74" t="s">
        <v>1226</v>
      </c>
      <c r="G2024" s="74" t="s">
        <v>1226</v>
      </c>
    </row>
    <row r="2025" spans="1:7" x14ac:dyDescent="0.2">
      <c r="A2025" s="39">
        <v>8472</v>
      </c>
      <c r="B2025" s="38" t="s">
        <v>795</v>
      </c>
      <c r="C2025" s="39" t="s">
        <v>2467</v>
      </c>
      <c r="D2025" s="74" t="s">
        <v>1227</v>
      </c>
      <c r="E2025" s="74" t="s">
        <v>1224</v>
      </c>
      <c r="F2025" s="74" t="s">
        <v>1226</v>
      </c>
      <c r="G2025" s="74" t="s">
        <v>1226</v>
      </c>
    </row>
    <row r="2026" spans="1:7" x14ac:dyDescent="0.2">
      <c r="A2026" s="39">
        <v>8473</v>
      </c>
      <c r="B2026" s="38" t="s">
        <v>796</v>
      </c>
      <c r="C2026" s="39" t="s">
        <v>2467</v>
      </c>
      <c r="D2026" s="74" t="s">
        <v>1227</v>
      </c>
      <c r="E2026" s="74" t="s">
        <v>1224</v>
      </c>
      <c r="F2026" s="74" t="s">
        <v>1226</v>
      </c>
      <c r="G2026" s="74" t="s">
        <v>1225</v>
      </c>
    </row>
    <row r="2027" spans="1:7" x14ac:dyDescent="0.2">
      <c r="A2027" s="39">
        <v>8480</v>
      </c>
      <c r="B2027" s="38" t="s">
        <v>802</v>
      </c>
      <c r="C2027" s="39" t="s">
        <v>2467</v>
      </c>
      <c r="D2027" s="74" t="s">
        <v>1227</v>
      </c>
      <c r="E2027" s="74" t="s">
        <v>1224</v>
      </c>
      <c r="F2027" s="74" t="s">
        <v>1226</v>
      </c>
      <c r="G2027" s="74" t="s">
        <v>1226</v>
      </c>
    </row>
    <row r="2028" spans="1:7" x14ac:dyDescent="0.2">
      <c r="A2028" s="39">
        <v>8481</v>
      </c>
      <c r="B2028" s="38" t="s">
        <v>803</v>
      </c>
      <c r="C2028" s="39" t="s">
        <v>2467</v>
      </c>
      <c r="D2028" s="74" t="s">
        <v>1227</v>
      </c>
      <c r="E2028" s="74" t="s">
        <v>1224</v>
      </c>
      <c r="F2028" s="74" t="s">
        <v>1226</v>
      </c>
      <c r="G2028" s="74" t="s">
        <v>1225</v>
      </c>
    </row>
    <row r="2029" spans="1:7" x14ac:dyDescent="0.2">
      <c r="A2029" s="39">
        <v>8482</v>
      </c>
      <c r="B2029" s="38" t="s">
        <v>804</v>
      </c>
      <c r="C2029" s="39" t="s">
        <v>2467</v>
      </c>
      <c r="D2029" s="74" t="s">
        <v>1227</v>
      </c>
      <c r="E2029" s="74" t="s">
        <v>1224</v>
      </c>
      <c r="F2029" s="74" t="s">
        <v>1226</v>
      </c>
      <c r="G2029" s="74" t="s">
        <v>1225</v>
      </c>
    </row>
    <row r="2030" spans="1:7" x14ac:dyDescent="0.2">
      <c r="A2030" s="39">
        <v>8483</v>
      </c>
      <c r="B2030" s="38" t="s">
        <v>805</v>
      </c>
      <c r="C2030" s="39" t="s">
        <v>2467</v>
      </c>
      <c r="D2030" s="74" t="s">
        <v>1227</v>
      </c>
      <c r="E2030" s="74" t="s">
        <v>1224</v>
      </c>
      <c r="F2030" s="74" t="s">
        <v>1226</v>
      </c>
      <c r="G2030" s="74" t="s">
        <v>1225</v>
      </c>
    </row>
    <row r="2031" spans="1:7" x14ac:dyDescent="0.2">
      <c r="A2031" s="39">
        <v>8484</v>
      </c>
      <c r="B2031" s="38" t="s">
        <v>806</v>
      </c>
      <c r="C2031" s="39" t="s">
        <v>2467</v>
      </c>
      <c r="D2031" s="74" t="s">
        <v>1227</v>
      </c>
      <c r="E2031" s="74" t="s">
        <v>1224</v>
      </c>
      <c r="F2031" s="74" t="s">
        <v>1226</v>
      </c>
      <c r="G2031" s="74" t="s">
        <v>1225</v>
      </c>
    </row>
    <row r="2032" spans="1:7" x14ac:dyDescent="0.2">
      <c r="A2032" s="39">
        <v>8490</v>
      </c>
      <c r="B2032" s="38" t="s">
        <v>807</v>
      </c>
      <c r="C2032" s="39" t="s">
        <v>2467</v>
      </c>
      <c r="D2032" s="74" t="s">
        <v>1227</v>
      </c>
      <c r="E2032" s="74" t="s">
        <v>1224</v>
      </c>
      <c r="F2032" s="74" t="s">
        <v>1226</v>
      </c>
      <c r="G2032" s="74" t="s">
        <v>1226</v>
      </c>
    </row>
    <row r="2033" spans="1:7" x14ac:dyDescent="0.2">
      <c r="A2033" s="39">
        <v>8492</v>
      </c>
      <c r="B2033" s="38" t="s">
        <v>808</v>
      </c>
      <c r="C2033" s="39" t="s">
        <v>2467</v>
      </c>
      <c r="D2033" s="74" t="s">
        <v>1227</v>
      </c>
      <c r="E2033" s="74" t="s">
        <v>1224</v>
      </c>
      <c r="F2033" s="74" t="s">
        <v>1226</v>
      </c>
      <c r="G2033" s="74" t="s">
        <v>1225</v>
      </c>
    </row>
    <row r="2034" spans="1:7" x14ac:dyDescent="0.2">
      <c r="A2034" s="39">
        <v>8493</v>
      </c>
      <c r="B2034" s="38" t="s">
        <v>809</v>
      </c>
      <c r="C2034" s="39" t="s">
        <v>2467</v>
      </c>
      <c r="D2034" s="74" t="s">
        <v>1227</v>
      </c>
      <c r="E2034" s="74" t="s">
        <v>1224</v>
      </c>
      <c r="F2034" s="74" t="s">
        <v>1226</v>
      </c>
      <c r="G2034" s="74" t="s">
        <v>1225</v>
      </c>
    </row>
    <row r="2035" spans="1:7" x14ac:dyDescent="0.2">
      <c r="A2035" s="39">
        <v>8501</v>
      </c>
      <c r="B2035" s="38" t="s">
        <v>810</v>
      </c>
      <c r="C2035" s="39" t="s">
        <v>2467</v>
      </c>
      <c r="D2035" s="74" t="s">
        <v>1227</v>
      </c>
      <c r="E2035" s="74" t="s">
        <v>1224</v>
      </c>
      <c r="F2035" s="74" t="s">
        <v>1226</v>
      </c>
      <c r="G2035" s="74" t="s">
        <v>1226</v>
      </c>
    </row>
    <row r="2036" spans="1:7" x14ac:dyDescent="0.2">
      <c r="A2036" s="39">
        <v>8502</v>
      </c>
      <c r="B2036" s="38" t="s">
        <v>811</v>
      </c>
      <c r="C2036" s="39" t="s">
        <v>2467</v>
      </c>
      <c r="D2036" s="74" t="s">
        <v>1227</v>
      </c>
      <c r="E2036" s="74" t="s">
        <v>1224</v>
      </c>
      <c r="F2036" s="74" t="s">
        <v>1226</v>
      </c>
      <c r="G2036" s="74" t="s">
        <v>1226</v>
      </c>
    </row>
    <row r="2037" spans="1:7" x14ac:dyDescent="0.2">
      <c r="A2037" s="39">
        <v>8503</v>
      </c>
      <c r="B2037" s="38" t="s">
        <v>812</v>
      </c>
      <c r="C2037" s="39" t="s">
        <v>2467</v>
      </c>
      <c r="D2037" s="74" t="s">
        <v>1227</v>
      </c>
      <c r="E2037" s="74" t="s">
        <v>1224</v>
      </c>
      <c r="F2037" s="74" t="s">
        <v>1226</v>
      </c>
      <c r="G2037" s="74" t="s">
        <v>1225</v>
      </c>
    </row>
    <row r="2038" spans="1:7" x14ac:dyDescent="0.2">
      <c r="A2038" s="39">
        <v>8504</v>
      </c>
      <c r="B2038" s="38" t="s">
        <v>813</v>
      </c>
      <c r="C2038" s="39" t="s">
        <v>2467</v>
      </c>
      <c r="D2038" s="74" t="s">
        <v>1227</v>
      </c>
      <c r="E2038" s="74" t="s">
        <v>1224</v>
      </c>
      <c r="F2038" s="74" t="s">
        <v>1226</v>
      </c>
      <c r="G2038" s="74" t="s">
        <v>1226</v>
      </c>
    </row>
    <row r="2039" spans="1:7" x14ac:dyDescent="0.2">
      <c r="A2039" s="39">
        <v>8505</v>
      </c>
      <c r="B2039" s="38" t="s">
        <v>814</v>
      </c>
      <c r="C2039" s="39" t="s">
        <v>2467</v>
      </c>
      <c r="D2039" s="74" t="s">
        <v>1227</v>
      </c>
      <c r="E2039" s="74" t="s">
        <v>1224</v>
      </c>
      <c r="F2039" s="74" t="s">
        <v>1226</v>
      </c>
      <c r="G2039" s="74" t="s">
        <v>1226</v>
      </c>
    </row>
    <row r="2040" spans="1:7" x14ac:dyDescent="0.2">
      <c r="A2040" s="39">
        <v>8510</v>
      </c>
      <c r="B2040" s="38" t="s">
        <v>815</v>
      </c>
      <c r="C2040" s="39" t="s">
        <v>2467</v>
      </c>
      <c r="D2040" s="74" t="s">
        <v>1227</v>
      </c>
      <c r="E2040" s="74" t="s">
        <v>1224</v>
      </c>
      <c r="F2040" s="74" t="s">
        <v>1226</v>
      </c>
      <c r="G2040" s="74" t="s">
        <v>1226</v>
      </c>
    </row>
    <row r="2041" spans="1:7" x14ac:dyDescent="0.2">
      <c r="A2041" s="39">
        <v>8511</v>
      </c>
      <c r="B2041" s="38" t="s">
        <v>816</v>
      </c>
      <c r="C2041" s="39" t="s">
        <v>2467</v>
      </c>
      <c r="D2041" s="74" t="s">
        <v>1227</v>
      </c>
      <c r="E2041" s="74" t="s">
        <v>1224</v>
      </c>
      <c r="F2041" s="74" t="s">
        <v>1226</v>
      </c>
      <c r="G2041" s="74" t="s">
        <v>1226</v>
      </c>
    </row>
    <row r="2042" spans="1:7" x14ac:dyDescent="0.2">
      <c r="A2042" s="39">
        <v>8521</v>
      </c>
      <c r="B2042" s="38" t="s">
        <v>817</v>
      </c>
      <c r="C2042" s="39" t="s">
        <v>2467</v>
      </c>
      <c r="D2042" s="74" t="s">
        <v>1227</v>
      </c>
      <c r="E2042" s="74" t="s">
        <v>1224</v>
      </c>
      <c r="F2042" s="74" t="s">
        <v>1226</v>
      </c>
      <c r="G2042" s="74" t="s">
        <v>1225</v>
      </c>
    </row>
    <row r="2043" spans="1:7" x14ac:dyDescent="0.2">
      <c r="A2043" s="39">
        <v>8522</v>
      </c>
      <c r="B2043" s="38" t="s">
        <v>818</v>
      </c>
      <c r="C2043" s="39" t="s">
        <v>2467</v>
      </c>
      <c r="D2043" s="74" t="s">
        <v>1227</v>
      </c>
      <c r="E2043" s="74" t="s">
        <v>1224</v>
      </c>
      <c r="F2043" s="74" t="s">
        <v>1226</v>
      </c>
      <c r="G2043" s="74" t="s">
        <v>1226</v>
      </c>
    </row>
    <row r="2044" spans="1:7" x14ac:dyDescent="0.2">
      <c r="A2044" s="39">
        <v>8523</v>
      </c>
      <c r="B2044" s="38" t="s">
        <v>819</v>
      </c>
      <c r="C2044" s="39" t="s">
        <v>2467</v>
      </c>
      <c r="D2044" s="74" t="s">
        <v>1227</v>
      </c>
      <c r="E2044" s="74" t="s">
        <v>1224</v>
      </c>
      <c r="F2044" s="74" t="s">
        <v>1226</v>
      </c>
      <c r="G2044" s="74" t="s">
        <v>1226</v>
      </c>
    </row>
    <row r="2045" spans="1:7" x14ac:dyDescent="0.2">
      <c r="A2045" s="39">
        <v>8524</v>
      </c>
      <c r="B2045" s="38" t="s">
        <v>820</v>
      </c>
      <c r="C2045" s="39" t="s">
        <v>2467</v>
      </c>
      <c r="D2045" s="74" t="s">
        <v>1227</v>
      </c>
      <c r="E2045" s="74" t="s">
        <v>1224</v>
      </c>
      <c r="F2045" s="74" t="s">
        <v>1226</v>
      </c>
      <c r="G2045" s="74" t="s">
        <v>1225</v>
      </c>
    </row>
    <row r="2046" spans="1:7" x14ac:dyDescent="0.2">
      <c r="A2046" s="39">
        <v>8530</v>
      </c>
      <c r="B2046" s="38" t="s">
        <v>821</v>
      </c>
      <c r="C2046" s="39" t="s">
        <v>2467</v>
      </c>
      <c r="D2046" s="74" t="s">
        <v>1227</v>
      </c>
      <c r="E2046" s="74" t="s">
        <v>1224</v>
      </c>
      <c r="F2046" s="74" t="s">
        <v>1226</v>
      </c>
      <c r="G2046" s="74" t="s">
        <v>1226</v>
      </c>
    </row>
    <row r="2047" spans="1:7" x14ac:dyDescent="0.2">
      <c r="A2047" s="39">
        <v>8541</v>
      </c>
      <c r="B2047" s="38" t="s">
        <v>822</v>
      </c>
      <c r="C2047" s="39" t="s">
        <v>2467</v>
      </c>
      <c r="D2047" s="74" t="s">
        <v>1227</v>
      </c>
      <c r="E2047" s="74" t="s">
        <v>1224</v>
      </c>
      <c r="F2047" s="74" t="s">
        <v>1226</v>
      </c>
      <c r="G2047" s="74" t="s">
        <v>1226</v>
      </c>
    </row>
    <row r="2048" spans="1:7" x14ac:dyDescent="0.2">
      <c r="A2048" s="39">
        <v>8542</v>
      </c>
      <c r="B2048" s="38" t="s">
        <v>823</v>
      </c>
      <c r="C2048" s="39" t="s">
        <v>2467</v>
      </c>
      <c r="D2048" s="74" t="s">
        <v>1227</v>
      </c>
      <c r="E2048" s="74" t="s">
        <v>1224</v>
      </c>
      <c r="F2048" s="74" t="s">
        <v>1226</v>
      </c>
      <c r="G2048" s="74" t="s">
        <v>1226</v>
      </c>
    </row>
    <row r="2049" spans="1:7" x14ac:dyDescent="0.2">
      <c r="A2049" s="39">
        <v>8543</v>
      </c>
      <c r="B2049" s="38" t="s">
        <v>824</v>
      </c>
      <c r="C2049" s="39" t="s">
        <v>2467</v>
      </c>
      <c r="D2049" s="74" t="s">
        <v>1227</v>
      </c>
      <c r="E2049" s="74" t="s">
        <v>1224</v>
      </c>
      <c r="F2049" s="74" t="s">
        <v>1226</v>
      </c>
      <c r="G2049" s="74" t="s">
        <v>1225</v>
      </c>
    </row>
    <row r="2050" spans="1:7" x14ac:dyDescent="0.2">
      <c r="A2050" s="39">
        <v>8544</v>
      </c>
      <c r="B2050" s="38" t="s">
        <v>825</v>
      </c>
      <c r="C2050" s="39" t="s">
        <v>2467</v>
      </c>
      <c r="D2050" s="74" t="s">
        <v>1227</v>
      </c>
      <c r="E2050" s="74" t="s">
        <v>1224</v>
      </c>
      <c r="F2050" s="74" t="s">
        <v>1226</v>
      </c>
      <c r="G2050" s="74" t="s">
        <v>1225</v>
      </c>
    </row>
    <row r="2051" spans="1:7" x14ac:dyDescent="0.2">
      <c r="A2051" s="39">
        <v>8551</v>
      </c>
      <c r="B2051" s="38" t="s">
        <v>826</v>
      </c>
      <c r="C2051" s="39" t="s">
        <v>2467</v>
      </c>
      <c r="D2051" s="74" t="s">
        <v>1227</v>
      </c>
      <c r="E2051" s="74" t="s">
        <v>1224</v>
      </c>
      <c r="F2051" s="74" t="s">
        <v>1226</v>
      </c>
      <c r="G2051" s="74" t="s">
        <v>1226</v>
      </c>
    </row>
    <row r="2052" spans="1:7" x14ac:dyDescent="0.2">
      <c r="A2052" s="39">
        <v>8552</v>
      </c>
      <c r="B2052" s="38" t="s">
        <v>827</v>
      </c>
      <c r="C2052" s="39" t="s">
        <v>2467</v>
      </c>
      <c r="D2052" s="74" t="s">
        <v>1227</v>
      </c>
      <c r="E2052" s="74" t="s">
        <v>1224</v>
      </c>
      <c r="F2052" s="74" t="s">
        <v>1226</v>
      </c>
      <c r="G2052" s="74" t="s">
        <v>1226</v>
      </c>
    </row>
    <row r="2053" spans="1:7" x14ac:dyDescent="0.2">
      <c r="A2053" s="39">
        <v>8553</v>
      </c>
      <c r="B2053" s="38" t="s">
        <v>828</v>
      </c>
      <c r="C2053" s="39" t="s">
        <v>2467</v>
      </c>
      <c r="D2053" s="74" t="s">
        <v>1227</v>
      </c>
      <c r="E2053" s="74" t="s">
        <v>1224</v>
      </c>
      <c r="F2053" s="74" t="s">
        <v>1226</v>
      </c>
      <c r="G2053" s="74" t="s">
        <v>1225</v>
      </c>
    </row>
    <row r="2054" spans="1:7" x14ac:dyDescent="0.2">
      <c r="A2054" s="39">
        <v>8554</v>
      </c>
      <c r="B2054" s="38" t="s">
        <v>1052</v>
      </c>
      <c r="C2054" s="39" t="s">
        <v>2467</v>
      </c>
      <c r="D2054" s="74" t="s">
        <v>1227</v>
      </c>
      <c r="E2054" s="74" t="s">
        <v>1224</v>
      </c>
      <c r="F2054" s="74" t="s">
        <v>1226</v>
      </c>
      <c r="G2054" s="74" t="s">
        <v>1225</v>
      </c>
    </row>
    <row r="2055" spans="1:7" x14ac:dyDescent="0.2">
      <c r="A2055" s="39">
        <v>8561</v>
      </c>
      <c r="B2055" s="38" t="s">
        <v>1053</v>
      </c>
      <c r="C2055" s="39" t="s">
        <v>2467</v>
      </c>
      <c r="D2055" s="74" t="s">
        <v>1227</v>
      </c>
      <c r="E2055" s="74" t="s">
        <v>1224</v>
      </c>
      <c r="F2055" s="74" t="s">
        <v>1226</v>
      </c>
      <c r="G2055" s="74" t="s">
        <v>1225</v>
      </c>
    </row>
    <row r="2056" spans="1:7" x14ac:dyDescent="0.2">
      <c r="A2056" s="39">
        <v>8562</v>
      </c>
      <c r="B2056" s="38" t="s">
        <v>1054</v>
      </c>
      <c r="C2056" s="39" t="s">
        <v>2467</v>
      </c>
      <c r="D2056" s="74" t="s">
        <v>1227</v>
      </c>
      <c r="E2056" s="74" t="s">
        <v>1224</v>
      </c>
      <c r="F2056" s="74" t="s">
        <v>1226</v>
      </c>
      <c r="G2056" s="74" t="s">
        <v>1225</v>
      </c>
    </row>
    <row r="2057" spans="1:7" x14ac:dyDescent="0.2">
      <c r="A2057" s="39">
        <v>8563</v>
      </c>
      <c r="B2057" s="38" t="s">
        <v>1055</v>
      </c>
      <c r="C2057" s="39" t="s">
        <v>2467</v>
      </c>
      <c r="D2057" s="74" t="s">
        <v>1227</v>
      </c>
      <c r="E2057" s="74" t="s">
        <v>1224</v>
      </c>
      <c r="F2057" s="74" t="s">
        <v>1226</v>
      </c>
      <c r="G2057" s="74" t="s">
        <v>1226</v>
      </c>
    </row>
    <row r="2058" spans="1:7" x14ac:dyDescent="0.2">
      <c r="A2058" s="39">
        <v>8564</v>
      </c>
      <c r="B2058" s="38" t="s">
        <v>1056</v>
      </c>
      <c r="C2058" s="39" t="s">
        <v>2467</v>
      </c>
      <c r="D2058" s="74" t="s">
        <v>1227</v>
      </c>
      <c r="E2058" s="74" t="s">
        <v>1224</v>
      </c>
      <c r="F2058" s="74" t="s">
        <v>1226</v>
      </c>
      <c r="G2058" s="74" t="s">
        <v>1226</v>
      </c>
    </row>
    <row r="2059" spans="1:7" x14ac:dyDescent="0.2">
      <c r="A2059" s="39">
        <v>8565</v>
      </c>
      <c r="B2059" s="38" t="s">
        <v>1057</v>
      </c>
      <c r="C2059" s="39" t="s">
        <v>2467</v>
      </c>
      <c r="D2059" s="74" t="s">
        <v>1227</v>
      </c>
      <c r="E2059" s="74" t="s">
        <v>1224</v>
      </c>
      <c r="F2059" s="74" t="s">
        <v>1226</v>
      </c>
      <c r="G2059" s="74" t="s">
        <v>1225</v>
      </c>
    </row>
    <row r="2060" spans="1:7" x14ac:dyDescent="0.2">
      <c r="A2060" s="39">
        <v>8570</v>
      </c>
      <c r="B2060" s="38" t="s">
        <v>1058</v>
      </c>
      <c r="C2060" s="39" t="s">
        <v>2467</v>
      </c>
      <c r="D2060" s="74" t="s">
        <v>1227</v>
      </c>
      <c r="E2060" s="74" t="s">
        <v>1224</v>
      </c>
      <c r="F2060" s="74" t="s">
        <v>1226</v>
      </c>
      <c r="G2060" s="74" t="s">
        <v>1226</v>
      </c>
    </row>
    <row r="2061" spans="1:7" x14ac:dyDescent="0.2">
      <c r="A2061" s="39">
        <v>8572</v>
      </c>
      <c r="B2061" s="38" t="s">
        <v>1059</v>
      </c>
      <c r="C2061" s="39" t="s">
        <v>2467</v>
      </c>
      <c r="D2061" s="74" t="s">
        <v>1227</v>
      </c>
      <c r="E2061" s="74" t="s">
        <v>1224</v>
      </c>
      <c r="F2061" s="74" t="s">
        <v>1226</v>
      </c>
      <c r="G2061" s="74" t="s">
        <v>1226</v>
      </c>
    </row>
    <row r="2062" spans="1:7" x14ac:dyDescent="0.2">
      <c r="A2062" s="39">
        <v>8573</v>
      </c>
      <c r="B2062" s="38" t="s">
        <v>1060</v>
      </c>
      <c r="C2062" s="39" t="s">
        <v>2467</v>
      </c>
      <c r="D2062" s="74" t="s">
        <v>1227</v>
      </c>
      <c r="E2062" s="74" t="s">
        <v>1224</v>
      </c>
      <c r="F2062" s="74" t="s">
        <v>1226</v>
      </c>
      <c r="G2062" s="74" t="s">
        <v>1225</v>
      </c>
    </row>
    <row r="2063" spans="1:7" x14ac:dyDescent="0.2">
      <c r="A2063" s="39">
        <v>8580</v>
      </c>
      <c r="B2063" s="38" t="s">
        <v>1061</v>
      </c>
      <c r="C2063" s="39" t="s">
        <v>2467</v>
      </c>
      <c r="D2063" s="74" t="s">
        <v>1227</v>
      </c>
      <c r="E2063" s="74" t="s">
        <v>1224</v>
      </c>
      <c r="F2063" s="74" t="s">
        <v>1226</v>
      </c>
      <c r="G2063" s="74" t="s">
        <v>1226</v>
      </c>
    </row>
    <row r="2064" spans="1:7" x14ac:dyDescent="0.2">
      <c r="A2064" s="39">
        <v>8582</v>
      </c>
      <c r="B2064" s="38" t="s">
        <v>1062</v>
      </c>
      <c r="C2064" s="39" t="s">
        <v>2467</v>
      </c>
      <c r="D2064" s="74" t="s">
        <v>1227</v>
      </c>
      <c r="E2064" s="74" t="s">
        <v>1224</v>
      </c>
      <c r="F2064" s="74" t="s">
        <v>1226</v>
      </c>
      <c r="G2064" s="74" t="s">
        <v>1225</v>
      </c>
    </row>
    <row r="2065" spans="1:7" x14ac:dyDescent="0.2">
      <c r="A2065" s="39">
        <v>8583</v>
      </c>
      <c r="B2065" s="38" t="s">
        <v>1063</v>
      </c>
      <c r="C2065" s="39" t="s">
        <v>2467</v>
      </c>
      <c r="D2065" s="74" t="s">
        <v>1227</v>
      </c>
      <c r="E2065" s="74" t="s">
        <v>1224</v>
      </c>
      <c r="F2065" s="74" t="s">
        <v>1226</v>
      </c>
      <c r="G2065" s="74" t="s">
        <v>1226</v>
      </c>
    </row>
    <row r="2066" spans="1:7" x14ac:dyDescent="0.2">
      <c r="A2066" s="39">
        <v>8584</v>
      </c>
      <c r="B2066" s="38" t="s">
        <v>2389</v>
      </c>
      <c r="C2066" s="39" t="s">
        <v>2467</v>
      </c>
      <c r="D2066" s="74" t="s">
        <v>1227</v>
      </c>
      <c r="E2066" s="74" t="s">
        <v>1224</v>
      </c>
      <c r="F2066" s="74" t="s">
        <v>1226</v>
      </c>
      <c r="G2066" s="74" t="s">
        <v>1225</v>
      </c>
    </row>
    <row r="2067" spans="1:7" x14ac:dyDescent="0.2">
      <c r="A2067" s="39">
        <v>8591</v>
      </c>
      <c r="B2067" s="38" t="s">
        <v>1064</v>
      </c>
      <c r="C2067" s="39" t="s">
        <v>2467</v>
      </c>
      <c r="D2067" s="74" t="s">
        <v>1227</v>
      </c>
      <c r="E2067" s="74" t="s">
        <v>1224</v>
      </c>
      <c r="F2067" s="74" t="s">
        <v>1226</v>
      </c>
      <c r="G2067" s="74" t="s">
        <v>1225</v>
      </c>
    </row>
    <row r="2068" spans="1:7" x14ac:dyDescent="0.2">
      <c r="A2068" s="39">
        <v>8592</v>
      </c>
      <c r="B2068" s="38" t="s">
        <v>1065</v>
      </c>
      <c r="C2068" s="39" t="s">
        <v>2467</v>
      </c>
      <c r="D2068" s="74" t="s">
        <v>1227</v>
      </c>
      <c r="E2068" s="74" t="s">
        <v>1224</v>
      </c>
      <c r="F2068" s="74" t="s">
        <v>1226</v>
      </c>
      <c r="G2068" s="74" t="s">
        <v>1225</v>
      </c>
    </row>
    <row r="2069" spans="1:7" x14ac:dyDescent="0.2">
      <c r="A2069" s="39">
        <v>8593</v>
      </c>
      <c r="B2069" s="38" t="s">
        <v>1066</v>
      </c>
      <c r="C2069" s="39" t="s">
        <v>2467</v>
      </c>
      <c r="D2069" s="74" t="s">
        <v>1227</v>
      </c>
      <c r="E2069" s="74" t="s">
        <v>1224</v>
      </c>
      <c r="F2069" s="74" t="s">
        <v>1226</v>
      </c>
      <c r="G2069" s="74" t="s">
        <v>1225</v>
      </c>
    </row>
    <row r="2070" spans="1:7" x14ac:dyDescent="0.2">
      <c r="A2070" s="39">
        <v>8600</v>
      </c>
      <c r="B2070" s="38" t="s">
        <v>128</v>
      </c>
      <c r="C2070" s="39" t="s">
        <v>2467</v>
      </c>
      <c r="D2070" s="74" t="s">
        <v>1227</v>
      </c>
      <c r="E2070" s="74" t="s">
        <v>1224</v>
      </c>
      <c r="F2070" s="74" t="s">
        <v>1226</v>
      </c>
      <c r="G2070" s="74" t="s">
        <v>1226</v>
      </c>
    </row>
    <row r="2071" spans="1:7" x14ac:dyDescent="0.2">
      <c r="A2071" s="39">
        <v>8601</v>
      </c>
      <c r="B2071" s="38" t="s">
        <v>128</v>
      </c>
      <c r="C2071" s="39" t="s">
        <v>2467</v>
      </c>
      <c r="D2071" s="74" t="s">
        <v>1229</v>
      </c>
      <c r="E2071" s="74" t="s">
        <v>1224</v>
      </c>
      <c r="F2071" s="74" t="s">
        <v>1225</v>
      </c>
      <c r="G2071" s="74" t="s">
        <v>1226</v>
      </c>
    </row>
    <row r="2072" spans="1:7" x14ac:dyDescent="0.2">
      <c r="A2072" s="39">
        <v>8605</v>
      </c>
      <c r="B2072" s="38" t="s">
        <v>1067</v>
      </c>
      <c r="C2072" s="39" t="s">
        <v>2467</v>
      </c>
      <c r="D2072" s="74" t="s">
        <v>1227</v>
      </c>
      <c r="E2072" s="74" t="s">
        <v>1224</v>
      </c>
      <c r="F2072" s="74" t="s">
        <v>1226</v>
      </c>
      <c r="G2072" s="74" t="s">
        <v>1226</v>
      </c>
    </row>
    <row r="2073" spans="1:7" x14ac:dyDescent="0.2">
      <c r="A2073" s="39">
        <v>8607</v>
      </c>
      <c r="B2073" s="38" t="s">
        <v>1067</v>
      </c>
      <c r="C2073" s="39" t="s">
        <v>2467</v>
      </c>
      <c r="D2073" s="74" t="s">
        <v>1229</v>
      </c>
      <c r="E2073" s="74" t="s">
        <v>1224</v>
      </c>
      <c r="F2073" s="74" t="s">
        <v>1225</v>
      </c>
      <c r="G2073" s="74" t="s">
        <v>1226</v>
      </c>
    </row>
    <row r="2074" spans="1:7" x14ac:dyDescent="0.2">
      <c r="A2074" s="39">
        <v>8611</v>
      </c>
      <c r="B2074" s="38" t="s">
        <v>1068</v>
      </c>
      <c r="C2074" s="39" t="s">
        <v>2467</v>
      </c>
      <c r="D2074" s="74" t="s">
        <v>1227</v>
      </c>
      <c r="E2074" s="74" t="s">
        <v>1224</v>
      </c>
      <c r="F2074" s="74" t="s">
        <v>1226</v>
      </c>
      <c r="G2074" s="74" t="s">
        <v>1226</v>
      </c>
    </row>
    <row r="2075" spans="1:7" x14ac:dyDescent="0.2">
      <c r="A2075" s="39">
        <v>8612</v>
      </c>
      <c r="B2075" s="38" t="s">
        <v>1069</v>
      </c>
      <c r="C2075" s="39" t="s">
        <v>2467</v>
      </c>
      <c r="D2075" s="74" t="s">
        <v>1227</v>
      </c>
      <c r="E2075" s="74" t="s">
        <v>1224</v>
      </c>
      <c r="F2075" s="74" t="s">
        <v>1226</v>
      </c>
      <c r="G2075" s="74" t="s">
        <v>1225</v>
      </c>
    </row>
    <row r="2076" spans="1:7" x14ac:dyDescent="0.2">
      <c r="A2076" s="39">
        <v>8614</v>
      </c>
      <c r="B2076" s="38" t="s">
        <v>1821</v>
      </c>
      <c r="C2076" s="39" t="s">
        <v>2467</v>
      </c>
      <c r="D2076" s="74" t="s">
        <v>1227</v>
      </c>
      <c r="E2076" s="74" t="s">
        <v>1224</v>
      </c>
      <c r="F2076" s="74" t="s">
        <v>1226</v>
      </c>
      <c r="G2076" s="74" t="s">
        <v>1226</v>
      </c>
    </row>
    <row r="2077" spans="1:7" x14ac:dyDescent="0.2">
      <c r="A2077" s="39">
        <v>8616</v>
      </c>
      <c r="B2077" s="38" t="s">
        <v>1070</v>
      </c>
      <c r="C2077" s="39" t="s">
        <v>2467</v>
      </c>
      <c r="D2077" s="74" t="s">
        <v>1227</v>
      </c>
      <c r="E2077" s="74" t="s">
        <v>1224</v>
      </c>
      <c r="F2077" s="74" t="s">
        <v>1226</v>
      </c>
      <c r="G2077" s="74" t="s">
        <v>1225</v>
      </c>
    </row>
    <row r="2078" spans="1:7" x14ac:dyDescent="0.2">
      <c r="A2078" s="39">
        <v>8621</v>
      </c>
      <c r="B2078" s="38" t="s">
        <v>1071</v>
      </c>
      <c r="C2078" s="39" t="s">
        <v>2467</v>
      </c>
      <c r="D2078" s="74" t="s">
        <v>1227</v>
      </c>
      <c r="E2078" s="74" t="s">
        <v>1224</v>
      </c>
      <c r="F2078" s="74" t="s">
        <v>1226</v>
      </c>
      <c r="G2078" s="74" t="s">
        <v>1226</v>
      </c>
    </row>
    <row r="2079" spans="1:7" x14ac:dyDescent="0.2">
      <c r="A2079" s="39">
        <v>8622</v>
      </c>
      <c r="B2079" s="38" t="s">
        <v>1072</v>
      </c>
      <c r="C2079" s="39" t="s">
        <v>2467</v>
      </c>
      <c r="D2079" s="74" t="s">
        <v>1227</v>
      </c>
      <c r="E2079" s="74" t="s">
        <v>1224</v>
      </c>
      <c r="F2079" s="74" t="s">
        <v>1226</v>
      </c>
      <c r="G2079" s="74" t="s">
        <v>1225</v>
      </c>
    </row>
    <row r="2080" spans="1:7" x14ac:dyDescent="0.2">
      <c r="A2080" s="39">
        <v>8623</v>
      </c>
      <c r="B2080" s="38" t="s">
        <v>1073</v>
      </c>
      <c r="C2080" s="39" t="s">
        <v>2467</v>
      </c>
      <c r="D2080" s="74" t="s">
        <v>1227</v>
      </c>
      <c r="E2080" s="74" t="s">
        <v>1224</v>
      </c>
      <c r="F2080" s="74" t="s">
        <v>1226</v>
      </c>
      <c r="G2080" s="74" t="s">
        <v>1226</v>
      </c>
    </row>
    <row r="2081" spans="1:7" x14ac:dyDescent="0.2">
      <c r="A2081" s="39">
        <v>8624</v>
      </c>
      <c r="B2081" s="38" t="s">
        <v>2358</v>
      </c>
      <c r="C2081" s="39" t="s">
        <v>2467</v>
      </c>
      <c r="D2081" s="74" t="s">
        <v>1227</v>
      </c>
      <c r="E2081" s="74" t="s">
        <v>1224</v>
      </c>
      <c r="F2081" s="74" t="s">
        <v>1226</v>
      </c>
      <c r="G2081" s="74" t="s">
        <v>1225</v>
      </c>
    </row>
    <row r="2082" spans="1:7" x14ac:dyDescent="0.2">
      <c r="A2082" s="39">
        <v>8625</v>
      </c>
      <c r="B2082" s="38" t="s">
        <v>1074</v>
      </c>
      <c r="C2082" s="39" t="s">
        <v>2467</v>
      </c>
      <c r="D2082" s="74" t="s">
        <v>1227</v>
      </c>
      <c r="E2082" s="74" t="s">
        <v>1224</v>
      </c>
      <c r="F2082" s="74" t="s">
        <v>1226</v>
      </c>
      <c r="G2082" s="74" t="s">
        <v>1225</v>
      </c>
    </row>
    <row r="2083" spans="1:7" x14ac:dyDescent="0.2">
      <c r="A2083" s="39">
        <v>8630</v>
      </c>
      <c r="B2083" s="38" t="s">
        <v>1075</v>
      </c>
      <c r="C2083" s="39" t="s">
        <v>2467</v>
      </c>
      <c r="D2083" s="74" t="s">
        <v>1227</v>
      </c>
      <c r="E2083" s="74" t="s">
        <v>1224</v>
      </c>
      <c r="F2083" s="74" t="s">
        <v>1226</v>
      </c>
      <c r="G2083" s="74" t="s">
        <v>1226</v>
      </c>
    </row>
    <row r="2084" spans="1:7" x14ac:dyDescent="0.2">
      <c r="A2084" s="39">
        <v>8632</v>
      </c>
      <c r="B2084" s="38" t="s">
        <v>1076</v>
      </c>
      <c r="C2084" s="39" t="s">
        <v>2467</v>
      </c>
      <c r="D2084" s="74" t="s">
        <v>1227</v>
      </c>
      <c r="E2084" s="74" t="s">
        <v>1224</v>
      </c>
      <c r="F2084" s="74" t="s">
        <v>1226</v>
      </c>
      <c r="G2084" s="74" t="s">
        <v>1225</v>
      </c>
    </row>
    <row r="2085" spans="1:7" x14ac:dyDescent="0.2">
      <c r="A2085" s="39">
        <v>8634</v>
      </c>
      <c r="B2085" s="38" t="s">
        <v>1077</v>
      </c>
      <c r="C2085" s="39" t="s">
        <v>2467</v>
      </c>
      <c r="D2085" s="74" t="s">
        <v>1227</v>
      </c>
      <c r="E2085" s="74" t="s">
        <v>1224</v>
      </c>
      <c r="F2085" s="74" t="s">
        <v>1226</v>
      </c>
      <c r="G2085" s="74" t="s">
        <v>1225</v>
      </c>
    </row>
    <row r="2086" spans="1:7" x14ac:dyDescent="0.2">
      <c r="A2086" s="39">
        <v>8635</v>
      </c>
      <c r="B2086" s="38" t="s">
        <v>1078</v>
      </c>
      <c r="C2086" s="39" t="s">
        <v>2467</v>
      </c>
      <c r="D2086" s="74" t="s">
        <v>1227</v>
      </c>
      <c r="E2086" s="74" t="s">
        <v>1224</v>
      </c>
      <c r="F2086" s="74" t="s">
        <v>1226</v>
      </c>
      <c r="G2086" s="74" t="s">
        <v>1225</v>
      </c>
    </row>
    <row r="2087" spans="1:7" x14ac:dyDescent="0.2">
      <c r="A2087" s="39">
        <v>8636</v>
      </c>
      <c r="B2087" s="38" t="s">
        <v>1079</v>
      </c>
      <c r="C2087" s="39" t="s">
        <v>2467</v>
      </c>
      <c r="D2087" s="74" t="s">
        <v>1227</v>
      </c>
      <c r="E2087" s="74" t="s">
        <v>1224</v>
      </c>
      <c r="F2087" s="74" t="s">
        <v>1226</v>
      </c>
      <c r="G2087" s="74" t="s">
        <v>1225</v>
      </c>
    </row>
    <row r="2088" spans="1:7" x14ac:dyDescent="0.2">
      <c r="A2088" s="39">
        <v>8641</v>
      </c>
      <c r="B2088" s="38" t="s">
        <v>1080</v>
      </c>
      <c r="C2088" s="39" t="s">
        <v>2467</v>
      </c>
      <c r="D2088" s="74" t="s">
        <v>1227</v>
      </c>
      <c r="E2088" s="74" t="s">
        <v>1224</v>
      </c>
      <c r="F2088" s="74" t="s">
        <v>1226</v>
      </c>
      <c r="G2088" s="74" t="s">
        <v>1226</v>
      </c>
    </row>
    <row r="2089" spans="1:7" x14ac:dyDescent="0.2">
      <c r="A2089" s="39">
        <v>8642</v>
      </c>
      <c r="B2089" s="38" t="s">
        <v>1081</v>
      </c>
      <c r="C2089" s="39" t="s">
        <v>2467</v>
      </c>
      <c r="D2089" s="74" t="s">
        <v>1227</v>
      </c>
      <c r="E2089" s="74" t="s">
        <v>1224</v>
      </c>
      <c r="F2089" s="74" t="s">
        <v>1226</v>
      </c>
      <c r="G2089" s="74" t="s">
        <v>1225</v>
      </c>
    </row>
    <row r="2090" spans="1:7" x14ac:dyDescent="0.2">
      <c r="A2090" s="39">
        <v>8643</v>
      </c>
      <c r="B2090" s="38" t="s">
        <v>1082</v>
      </c>
      <c r="C2090" s="39" t="s">
        <v>2467</v>
      </c>
      <c r="D2090" s="74" t="s">
        <v>1227</v>
      </c>
      <c r="E2090" s="74" t="s">
        <v>1224</v>
      </c>
      <c r="F2090" s="74" t="s">
        <v>1226</v>
      </c>
      <c r="G2090" s="74" t="s">
        <v>1226</v>
      </c>
    </row>
    <row r="2091" spans="1:7" x14ac:dyDescent="0.2">
      <c r="A2091" s="39">
        <v>8644</v>
      </c>
      <c r="B2091" s="38" t="s">
        <v>1083</v>
      </c>
      <c r="C2091" s="39" t="s">
        <v>2467</v>
      </c>
      <c r="D2091" s="74" t="s">
        <v>1227</v>
      </c>
      <c r="E2091" s="74" t="s">
        <v>1224</v>
      </c>
      <c r="F2091" s="74" t="s">
        <v>1226</v>
      </c>
      <c r="G2091" s="74" t="s">
        <v>1225</v>
      </c>
    </row>
    <row r="2092" spans="1:7" x14ac:dyDescent="0.2">
      <c r="A2092" s="39">
        <v>8650</v>
      </c>
      <c r="B2092" s="38" t="s">
        <v>1084</v>
      </c>
      <c r="C2092" s="39" t="s">
        <v>2467</v>
      </c>
      <c r="D2092" s="74" t="s">
        <v>1227</v>
      </c>
      <c r="E2092" s="74" t="s">
        <v>1224</v>
      </c>
      <c r="F2092" s="74" t="s">
        <v>1226</v>
      </c>
      <c r="G2092" s="74" t="s">
        <v>1226</v>
      </c>
    </row>
    <row r="2093" spans="1:7" x14ac:dyDescent="0.2">
      <c r="A2093" s="39">
        <v>8652</v>
      </c>
      <c r="B2093" s="38" t="s">
        <v>1085</v>
      </c>
      <c r="C2093" s="39" t="s">
        <v>2467</v>
      </c>
      <c r="D2093" s="74" t="s">
        <v>1227</v>
      </c>
      <c r="E2093" s="74" t="s">
        <v>1224</v>
      </c>
      <c r="F2093" s="74" t="s">
        <v>1226</v>
      </c>
      <c r="G2093" s="74" t="s">
        <v>1225</v>
      </c>
    </row>
    <row r="2094" spans="1:7" x14ac:dyDescent="0.2">
      <c r="A2094" s="39">
        <v>8653</v>
      </c>
      <c r="B2094" s="38" t="s">
        <v>1086</v>
      </c>
      <c r="C2094" s="39" t="s">
        <v>2467</v>
      </c>
      <c r="D2094" s="74" t="s">
        <v>1227</v>
      </c>
      <c r="E2094" s="74" t="s">
        <v>1224</v>
      </c>
      <c r="F2094" s="74" t="s">
        <v>1226</v>
      </c>
      <c r="G2094" s="74" t="s">
        <v>1225</v>
      </c>
    </row>
    <row r="2095" spans="1:7" x14ac:dyDescent="0.2">
      <c r="A2095" s="39">
        <v>8654</v>
      </c>
      <c r="B2095" s="38" t="s">
        <v>1087</v>
      </c>
      <c r="C2095" s="39" t="s">
        <v>2467</v>
      </c>
      <c r="D2095" s="74" t="s">
        <v>1227</v>
      </c>
      <c r="E2095" s="74" t="s">
        <v>1224</v>
      </c>
      <c r="F2095" s="74" t="s">
        <v>1226</v>
      </c>
      <c r="G2095" s="74" t="s">
        <v>1225</v>
      </c>
    </row>
    <row r="2096" spans="1:7" x14ac:dyDescent="0.2">
      <c r="A2096" s="39">
        <v>8661</v>
      </c>
      <c r="B2096" s="38" t="s">
        <v>1088</v>
      </c>
      <c r="C2096" s="39" t="s">
        <v>2467</v>
      </c>
      <c r="D2096" s="74" t="s">
        <v>1227</v>
      </c>
      <c r="E2096" s="74" t="s">
        <v>1224</v>
      </c>
      <c r="F2096" s="74" t="s">
        <v>1226</v>
      </c>
      <c r="G2096" s="74" t="s">
        <v>1226</v>
      </c>
    </row>
    <row r="2097" spans="1:7" x14ac:dyDescent="0.2">
      <c r="A2097" s="39">
        <v>8662</v>
      </c>
      <c r="B2097" s="38" t="s">
        <v>1089</v>
      </c>
      <c r="C2097" s="39" t="s">
        <v>2467</v>
      </c>
      <c r="D2097" s="74" t="s">
        <v>1227</v>
      </c>
      <c r="E2097" s="74" t="s">
        <v>1224</v>
      </c>
      <c r="F2097" s="74" t="s">
        <v>1226</v>
      </c>
      <c r="G2097" s="74" t="s">
        <v>1225</v>
      </c>
    </row>
    <row r="2098" spans="1:7" x14ac:dyDescent="0.2">
      <c r="A2098" s="39">
        <v>8663</v>
      </c>
      <c r="B2098" s="38" t="s">
        <v>1090</v>
      </c>
      <c r="C2098" s="39" t="s">
        <v>2467</v>
      </c>
      <c r="D2098" s="74" t="s">
        <v>1227</v>
      </c>
      <c r="E2098" s="74" t="s">
        <v>1224</v>
      </c>
      <c r="F2098" s="74" t="s">
        <v>1226</v>
      </c>
      <c r="G2098" s="74" t="s">
        <v>1226</v>
      </c>
    </row>
    <row r="2099" spans="1:7" x14ac:dyDescent="0.2">
      <c r="A2099" s="39">
        <v>8664</v>
      </c>
      <c r="B2099" s="38" t="s">
        <v>1091</v>
      </c>
      <c r="C2099" s="39" t="s">
        <v>2467</v>
      </c>
      <c r="D2099" s="74" t="s">
        <v>1227</v>
      </c>
      <c r="E2099" s="74" t="s">
        <v>1224</v>
      </c>
      <c r="F2099" s="74" t="s">
        <v>1226</v>
      </c>
      <c r="G2099" s="74" t="s">
        <v>1225</v>
      </c>
    </row>
    <row r="2100" spans="1:7" x14ac:dyDescent="0.2">
      <c r="A2100" s="39">
        <v>8665</v>
      </c>
      <c r="B2100" s="38" t="s">
        <v>1092</v>
      </c>
      <c r="C2100" s="39" t="s">
        <v>2467</v>
      </c>
      <c r="D2100" s="74" t="s">
        <v>1227</v>
      </c>
      <c r="E2100" s="74" t="s">
        <v>1224</v>
      </c>
      <c r="F2100" s="74" t="s">
        <v>1226</v>
      </c>
      <c r="G2100" s="74" t="s">
        <v>1226</v>
      </c>
    </row>
    <row r="2101" spans="1:7" x14ac:dyDescent="0.2">
      <c r="A2101" s="39">
        <v>8670</v>
      </c>
      <c r="B2101" s="38" t="s">
        <v>1093</v>
      </c>
      <c r="C2101" s="39" t="s">
        <v>2467</v>
      </c>
      <c r="D2101" s="74" t="s">
        <v>1227</v>
      </c>
      <c r="E2101" s="74" t="s">
        <v>1224</v>
      </c>
      <c r="F2101" s="74" t="s">
        <v>1226</v>
      </c>
      <c r="G2101" s="74" t="s">
        <v>1226</v>
      </c>
    </row>
    <row r="2102" spans="1:7" x14ac:dyDescent="0.2">
      <c r="A2102" s="39">
        <v>8671</v>
      </c>
      <c r="B2102" s="38" t="s">
        <v>1094</v>
      </c>
      <c r="C2102" s="39" t="s">
        <v>2467</v>
      </c>
      <c r="D2102" s="74" t="s">
        <v>1227</v>
      </c>
      <c r="E2102" s="74" t="s">
        <v>1224</v>
      </c>
      <c r="F2102" s="74" t="s">
        <v>1226</v>
      </c>
      <c r="G2102" s="74" t="s">
        <v>1225</v>
      </c>
    </row>
    <row r="2103" spans="1:7" x14ac:dyDescent="0.2">
      <c r="A2103" s="39">
        <v>8672</v>
      </c>
      <c r="B2103" s="38" t="s">
        <v>1095</v>
      </c>
      <c r="C2103" s="39" t="s">
        <v>2467</v>
      </c>
      <c r="D2103" s="74" t="s">
        <v>1227</v>
      </c>
      <c r="E2103" s="74" t="s">
        <v>1224</v>
      </c>
      <c r="F2103" s="74" t="s">
        <v>1226</v>
      </c>
      <c r="G2103" s="74" t="s">
        <v>1225</v>
      </c>
    </row>
    <row r="2104" spans="1:7" x14ac:dyDescent="0.2">
      <c r="A2104" s="39">
        <v>8673</v>
      </c>
      <c r="B2104" s="38" t="s">
        <v>1096</v>
      </c>
      <c r="C2104" s="39" t="s">
        <v>2467</v>
      </c>
      <c r="D2104" s="74" t="s">
        <v>1227</v>
      </c>
      <c r="E2104" s="74" t="s">
        <v>1224</v>
      </c>
      <c r="F2104" s="74" t="s">
        <v>1226</v>
      </c>
      <c r="G2104" s="74" t="s">
        <v>1226</v>
      </c>
    </row>
    <row r="2105" spans="1:7" x14ac:dyDescent="0.2">
      <c r="A2105" s="39">
        <v>8674</v>
      </c>
      <c r="B2105" s="38" t="s">
        <v>1097</v>
      </c>
      <c r="C2105" s="39" t="s">
        <v>2467</v>
      </c>
      <c r="D2105" s="74" t="s">
        <v>1227</v>
      </c>
      <c r="E2105" s="74" t="s">
        <v>1224</v>
      </c>
      <c r="F2105" s="74" t="s">
        <v>1226</v>
      </c>
      <c r="G2105" s="74" t="s">
        <v>1226</v>
      </c>
    </row>
    <row r="2106" spans="1:7" x14ac:dyDescent="0.2">
      <c r="A2106" s="39">
        <v>8680</v>
      </c>
      <c r="B2106" s="38" t="s">
        <v>1098</v>
      </c>
      <c r="C2106" s="39" t="s">
        <v>2467</v>
      </c>
      <c r="D2106" s="74" t="s">
        <v>1227</v>
      </c>
      <c r="E2106" s="74" t="s">
        <v>1224</v>
      </c>
      <c r="F2106" s="74" t="s">
        <v>1226</v>
      </c>
      <c r="G2106" s="74" t="s">
        <v>1226</v>
      </c>
    </row>
    <row r="2107" spans="1:7" x14ac:dyDescent="0.2">
      <c r="A2107" s="39">
        <v>8682</v>
      </c>
      <c r="B2107" s="38" t="s">
        <v>1099</v>
      </c>
      <c r="C2107" s="39" t="s">
        <v>2467</v>
      </c>
      <c r="D2107" s="74" t="s">
        <v>1227</v>
      </c>
      <c r="E2107" s="74" t="s">
        <v>1224</v>
      </c>
      <c r="F2107" s="74" t="s">
        <v>1226</v>
      </c>
      <c r="G2107" s="74" t="s">
        <v>1225</v>
      </c>
    </row>
    <row r="2108" spans="1:7" x14ac:dyDescent="0.2">
      <c r="A2108" s="39">
        <v>8684</v>
      </c>
      <c r="B2108" s="38" t="s">
        <v>1100</v>
      </c>
      <c r="C2108" s="39" t="s">
        <v>2467</v>
      </c>
      <c r="D2108" s="74" t="s">
        <v>1227</v>
      </c>
      <c r="E2108" s="74" t="s">
        <v>1224</v>
      </c>
      <c r="F2108" s="74" t="s">
        <v>1226</v>
      </c>
      <c r="G2108" s="74" t="s">
        <v>1225</v>
      </c>
    </row>
    <row r="2109" spans="1:7" x14ac:dyDescent="0.2">
      <c r="A2109" s="39">
        <v>8685</v>
      </c>
      <c r="B2109" s="38" t="s">
        <v>1101</v>
      </c>
      <c r="C2109" s="39" t="s">
        <v>2467</v>
      </c>
      <c r="D2109" s="74" t="s">
        <v>1227</v>
      </c>
      <c r="E2109" s="74" t="s">
        <v>1224</v>
      </c>
      <c r="F2109" s="74" t="s">
        <v>1226</v>
      </c>
      <c r="G2109" s="74" t="s">
        <v>1225</v>
      </c>
    </row>
    <row r="2110" spans="1:7" x14ac:dyDescent="0.2">
      <c r="A2110" s="39">
        <v>8691</v>
      </c>
      <c r="B2110" s="38" t="s">
        <v>1102</v>
      </c>
      <c r="C2110" s="39" t="s">
        <v>2467</v>
      </c>
      <c r="D2110" s="74" t="s">
        <v>1227</v>
      </c>
      <c r="E2110" s="74" t="s">
        <v>1224</v>
      </c>
      <c r="F2110" s="74" t="s">
        <v>1226</v>
      </c>
      <c r="G2110" s="74" t="s">
        <v>1225</v>
      </c>
    </row>
    <row r="2111" spans="1:7" x14ac:dyDescent="0.2">
      <c r="A2111" s="39">
        <v>8692</v>
      </c>
      <c r="B2111" s="38" t="s">
        <v>1103</v>
      </c>
      <c r="C2111" s="39" t="s">
        <v>2467</v>
      </c>
      <c r="D2111" s="74" t="s">
        <v>1227</v>
      </c>
      <c r="E2111" s="74" t="s">
        <v>1224</v>
      </c>
      <c r="F2111" s="74" t="s">
        <v>1226</v>
      </c>
      <c r="G2111" s="74" t="s">
        <v>1226</v>
      </c>
    </row>
    <row r="2112" spans="1:7" x14ac:dyDescent="0.2">
      <c r="A2112" s="39">
        <v>8693</v>
      </c>
      <c r="B2112" s="38" t="s">
        <v>1104</v>
      </c>
      <c r="C2112" s="39" t="s">
        <v>2467</v>
      </c>
      <c r="D2112" s="74" t="s">
        <v>1227</v>
      </c>
      <c r="E2112" s="74" t="s">
        <v>1224</v>
      </c>
      <c r="F2112" s="74" t="s">
        <v>1226</v>
      </c>
      <c r="G2112" s="74" t="s">
        <v>1225</v>
      </c>
    </row>
    <row r="2113" spans="1:7" x14ac:dyDescent="0.2">
      <c r="A2113" s="39">
        <v>8694</v>
      </c>
      <c r="B2113" s="38" t="s">
        <v>1105</v>
      </c>
      <c r="C2113" s="39" t="s">
        <v>2467</v>
      </c>
      <c r="D2113" s="74" t="s">
        <v>1227</v>
      </c>
      <c r="E2113" s="74" t="s">
        <v>1224</v>
      </c>
      <c r="F2113" s="74" t="s">
        <v>1226</v>
      </c>
      <c r="G2113" s="74" t="s">
        <v>1225</v>
      </c>
    </row>
    <row r="2114" spans="1:7" x14ac:dyDescent="0.2">
      <c r="A2114" s="39">
        <v>8700</v>
      </c>
      <c r="B2114" s="38" t="s">
        <v>195</v>
      </c>
      <c r="C2114" s="39" t="s">
        <v>2467</v>
      </c>
      <c r="D2114" s="74" t="s">
        <v>1227</v>
      </c>
      <c r="E2114" s="74" t="s">
        <v>1224</v>
      </c>
      <c r="F2114" s="74" t="s">
        <v>1226</v>
      </c>
      <c r="G2114" s="74" t="s">
        <v>1226</v>
      </c>
    </row>
    <row r="2115" spans="1:7" x14ac:dyDescent="0.2">
      <c r="A2115" s="39">
        <v>8701</v>
      </c>
      <c r="B2115" s="38" t="s">
        <v>195</v>
      </c>
      <c r="C2115" s="39" t="s">
        <v>2467</v>
      </c>
      <c r="D2115" s="74" t="s">
        <v>1229</v>
      </c>
      <c r="E2115" s="74" t="s">
        <v>1224</v>
      </c>
      <c r="F2115" s="74" t="s">
        <v>1225</v>
      </c>
      <c r="G2115" s="74" t="s">
        <v>1226</v>
      </c>
    </row>
    <row r="2116" spans="1:7" x14ac:dyDescent="0.2">
      <c r="A2116" s="39">
        <v>8704</v>
      </c>
      <c r="B2116" s="38" t="s">
        <v>195</v>
      </c>
      <c r="C2116" s="39" t="s">
        <v>2467</v>
      </c>
      <c r="D2116" s="74" t="s">
        <v>1229</v>
      </c>
      <c r="E2116" s="74" t="s">
        <v>1224</v>
      </c>
      <c r="F2116" s="74" t="s">
        <v>1225</v>
      </c>
      <c r="G2116" s="74" t="s">
        <v>1226</v>
      </c>
    </row>
    <row r="2117" spans="1:7" x14ac:dyDescent="0.2">
      <c r="A2117" s="39">
        <v>8707</v>
      </c>
      <c r="B2117" s="38" t="s">
        <v>195</v>
      </c>
      <c r="C2117" s="39" t="s">
        <v>2467</v>
      </c>
      <c r="D2117" s="74" t="s">
        <v>1229</v>
      </c>
      <c r="E2117" s="74" t="s">
        <v>1224</v>
      </c>
      <c r="F2117" s="74" t="s">
        <v>1225</v>
      </c>
      <c r="G2117" s="74" t="s">
        <v>1226</v>
      </c>
    </row>
    <row r="2118" spans="1:7" x14ac:dyDescent="0.2">
      <c r="A2118" s="39">
        <v>8712</v>
      </c>
      <c r="B2118" s="38" t="s">
        <v>1106</v>
      </c>
      <c r="C2118" s="39" t="s">
        <v>2467</v>
      </c>
      <c r="D2118" s="74" t="s">
        <v>1227</v>
      </c>
      <c r="E2118" s="74" t="s">
        <v>1224</v>
      </c>
      <c r="F2118" s="74" t="s">
        <v>1226</v>
      </c>
      <c r="G2118" s="74" t="s">
        <v>1226</v>
      </c>
    </row>
    <row r="2119" spans="1:7" x14ac:dyDescent="0.2">
      <c r="A2119" s="39">
        <v>8713</v>
      </c>
      <c r="B2119" s="38" t="s">
        <v>1107</v>
      </c>
      <c r="C2119" s="39" t="s">
        <v>2467</v>
      </c>
      <c r="D2119" s="74" t="s">
        <v>1227</v>
      </c>
      <c r="E2119" s="74" t="s">
        <v>1224</v>
      </c>
      <c r="F2119" s="74" t="s">
        <v>1226</v>
      </c>
      <c r="G2119" s="74" t="s">
        <v>1226</v>
      </c>
    </row>
    <row r="2120" spans="1:7" x14ac:dyDescent="0.2">
      <c r="A2120" s="39">
        <v>8714</v>
      </c>
      <c r="B2120" s="38" t="s">
        <v>1108</v>
      </c>
      <c r="C2120" s="39" t="s">
        <v>2467</v>
      </c>
      <c r="D2120" s="74" t="s">
        <v>1227</v>
      </c>
      <c r="E2120" s="74" t="s">
        <v>1224</v>
      </c>
      <c r="F2120" s="74" t="s">
        <v>1226</v>
      </c>
      <c r="G2120" s="74" t="s">
        <v>1226</v>
      </c>
    </row>
    <row r="2121" spans="1:7" x14ac:dyDescent="0.2">
      <c r="A2121" s="39">
        <v>8715</v>
      </c>
      <c r="B2121" s="38" t="s">
        <v>1109</v>
      </c>
      <c r="C2121" s="39" t="s">
        <v>2467</v>
      </c>
      <c r="D2121" s="74" t="s">
        <v>1227</v>
      </c>
      <c r="E2121" s="74" t="s">
        <v>1224</v>
      </c>
      <c r="F2121" s="74" t="s">
        <v>1226</v>
      </c>
      <c r="G2121" s="74" t="s">
        <v>1225</v>
      </c>
    </row>
    <row r="2122" spans="1:7" x14ac:dyDescent="0.2">
      <c r="A2122" s="39">
        <v>8720</v>
      </c>
      <c r="B2122" s="38" t="s">
        <v>1110</v>
      </c>
      <c r="C2122" s="39" t="s">
        <v>2467</v>
      </c>
      <c r="D2122" s="74" t="s">
        <v>1227</v>
      </c>
      <c r="E2122" s="74" t="s">
        <v>1224</v>
      </c>
      <c r="F2122" s="74" t="s">
        <v>1226</v>
      </c>
      <c r="G2122" s="74" t="s">
        <v>1226</v>
      </c>
    </row>
    <row r="2123" spans="1:7" x14ac:dyDescent="0.2">
      <c r="A2123" s="39">
        <v>8724</v>
      </c>
      <c r="B2123" s="38" t="s">
        <v>1111</v>
      </c>
      <c r="C2123" s="39" t="s">
        <v>2467</v>
      </c>
      <c r="D2123" s="74" t="s">
        <v>1227</v>
      </c>
      <c r="E2123" s="74" t="s">
        <v>1224</v>
      </c>
      <c r="F2123" s="74" t="s">
        <v>1226</v>
      </c>
      <c r="G2123" s="74" t="s">
        <v>1226</v>
      </c>
    </row>
    <row r="2124" spans="1:7" x14ac:dyDescent="0.2">
      <c r="A2124" s="39">
        <v>8731</v>
      </c>
      <c r="B2124" s="38" t="s">
        <v>1112</v>
      </c>
      <c r="C2124" s="39" t="s">
        <v>2467</v>
      </c>
      <c r="D2124" s="74" t="s">
        <v>1227</v>
      </c>
      <c r="E2124" s="74" t="s">
        <v>1224</v>
      </c>
      <c r="F2124" s="74" t="s">
        <v>1226</v>
      </c>
      <c r="G2124" s="74" t="s">
        <v>1225</v>
      </c>
    </row>
    <row r="2125" spans="1:7" x14ac:dyDescent="0.2">
      <c r="A2125" s="39">
        <v>8732</v>
      </c>
      <c r="B2125" s="38" t="s">
        <v>1113</v>
      </c>
      <c r="C2125" s="39" t="s">
        <v>2467</v>
      </c>
      <c r="D2125" s="74" t="s">
        <v>1227</v>
      </c>
      <c r="E2125" s="74" t="s">
        <v>1224</v>
      </c>
      <c r="F2125" s="74" t="s">
        <v>1226</v>
      </c>
      <c r="G2125" s="74" t="s">
        <v>1225</v>
      </c>
    </row>
    <row r="2126" spans="1:7" x14ac:dyDescent="0.2">
      <c r="A2126" s="39">
        <v>8733</v>
      </c>
      <c r="B2126" s="38" t="s">
        <v>1114</v>
      </c>
      <c r="C2126" s="39" t="s">
        <v>2467</v>
      </c>
      <c r="D2126" s="74" t="s">
        <v>1227</v>
      </c>
      <c r="E2126" s="74" t="s">
        <v>1224</v>
      </c>
      <c r="F2126" s="74" t="s">
        <v>1226</v>
      </c>
      <c r="G2126" s="74" t="s">
        <v>1225</v>
      </c>
    </row>
    <row r="2127" spans="1:7" x14ac:dyDescent="0.2">
      <c r="A2127" s="39">
        <v>8734</v>
      </c>
      <c r="B2127" s="38" t="s">
        <v>1115</v>
      </c>
      <c r="C2127" s="39" t="s">
        <v>2467</v>
      </c>
      <c r="D2127" s="74" t="s">
        <v>1227</v>
      </c>
      <c r="E2127" s="74" t="s">
        <v>1224</v>
      </c>
      <c r="F2127" s="74" t="s">
        <v>1226</v>
      </c>
      <c r="G2127" s="74" t="s">
        <v>1225</v>
      </c>
    </row>
    <row r="2128" spans="1:7" x14ac:dyDescent="0.2">
      <c r="A2128" s="39">
        <v>8740</v>
      </c>
      <c r="B2128" s="38" t="s">
        <v>1116</v>
      </c>
      <c r="C2128" s="39" t="s">
        <v>2467</v>
      </c>
      <c r="D2128" s="74" t="s">
        <v>1227</v>
      </c>
      <c r="E2128" s="74" t="s">
        <v>1224</v>
      </c>
      <c r="F2128" s="74" t="s">
        <v>1226</v>
      </c>
      <c r="G2128" s="74" t="s">
        <v>1226</v>
      </c>
    </row>
    <row r="2129" spans="1:7" x14ac:dyDescent="0.2">
      <c r="A2129" s="39">
        <v>8741</v>
      </c>
      <c r="B2129" s="38" t="s">
        <v>1117</v>
      </c>
      <c r="C2129" s="39" t="s">
        <v>2467</v>
      </c>
      <c r="D2129" s="74" t="s">
        <v>1227</v>
      </c>
      <c r="E2129" s="74" t="s">
        <v>1224</v>
      </c>
      <c r="F2129" s="74" t="s">
        <v>1226</v>
      </c>
      <c r="G2129" s="74" t="s">
        <v>1226</v>
      </c>
    </row>
    <row r="2130" spans="1:7" x14ac:dyDescent="0.2">
      <c r="A2130" s="39">
        <v>8742</v>
      </c>
      <c r="B2130" s="38" t="s">
        <v>1118</v>
      </c>
      <c r="C2130" s="39" t="s">
        <v>2467</v>
      </c>
      <c r="D2130" s="74" t="s">
        <v>1227</v>
      </c>
      <c r="E2130" s="74" t="s">
        <v>1224</v>
      </c>
      <c r="F2130" s="74" t="s">
        <v>1226</v>
      </c>
      <c r="G2130" s="74" t="s">
        <v>1226</v>
      </c>
    </row>
    <row r="2131" spans="1:7" x14ac:dyDescent="0.2">
      <c r="A2131" s="39">
        <v>8750</v>
      </c>
      <c r="B2131" s="38" t="s">
        <v>1119</v>
      </c>
      <c r="C2131" s="39" t="s">
        <v>2467</v>
      </c>
      <c r="D2131" s="74" t="s">
        <v>1227</v>
      </c>
      <c r="E2131" s="74" t="s">
        <v>1224</v>
      </c>
      <c r="F2131" s="74" t="s">
        <v>1226</v>
      </c>
      <c r="G2131" s="74" t="s">
        <v>1226</v>
      </c>
    </row>
    <row r="2132" spans="1:7" x14ac:dyDescent="0.2">
      <c r="A2132" s="39">
        <v>8752</v>
      </c>
      <c r="B2132" s="38" t="s">
        <v>1120</v>
      </c>
      <c r="C2132" s="39" t="s">
        <v>2467</v>
      </c>
      <c r="D2132" s="74" t="s">
        <v>1229</v>
      </c>
      <c r="E2132" s="74" t="s">
        <v>1224</v>
      </c>
      <c r="F2132" s="74" t="s">
        <v>1225</v>
      </c>
      <c r="G2132" s="74" t="s">
        <v>1226</v>
      </c>
    </row>
    <row r="2133" spans="1:7" x14ac:dyDescent="0.2">
      <c r="A2133" s="39">
        <v>8753</v>
      </c>
      <c r="B2133" s="38" t="s">
        <v>1121</v>
      </c>
      <c r="C2133" s="39" t="s">
        <v>2467</v>
      </c>
      <c r="D2133" s="74" t="s">
        <v>1227</v>
      </c>
      <c r="E2133" s="74" t="s">
        <v>1224</v>
      </c>
      <c r="F2133" s="74" t="s">
        <v>1226</v>
      </c>
      <c r="G2133" s="74" t="s">
        <v>1226</v>
      </c>
    </row>
    <row r="2134" spans="1:7" x14ac:dyDescent="0.2">
      <c r="A2134" s="39">
        <v>8754</v>
      </c>
      <c r="B2134" s="38" t="s">
        <v>1122</v>
      </c>
      <c r="C2134" s="39" t="s">
        <v>2467</v>
      </c>
      <c r="D2134" s="74" t="s">
        <v>1227</v>
      </c>
      <c r="E2134" s="74" t="s">
        <v>1224</v>
      </c>
      <c r="F2134" s="74" t="s">
        <v>1226</v>
      </c>
      <c r="G2134" s="74" t="s">
        <v>1225</v>
      </c>
    </row>
    <row r="2135" spans="1:7" x14ac:dyDescent="0.2">
      <c r="A2135" s="39">
        <v>8755</v>
      </c>
      <c r="B2135" s="38" t="s">
        <v>1123</v>
      </c>
      <c r="C2135" s="39" t="s">
        <v>2467</v>
      </c>
      <c r="D2135" s="74" t="s">
        <v>1227</v>
      </c>
      <c r="E2135" s="74" t="s">
        <v>1224</v>
      </c>
      <c r="F2135" s="74" t="s">
        <v>1226</v>
      </c>
      <c r="G2135" s="74" t="s">
        <v>1225</v>
      </c>
    </row>
    <row r="2136" spans="1:7" x14ac:dyDescent="0.2">
      <c r="A2136" s="39">
        <v>8756</v>
      </c>
      <c r="B2136" s="38" t="s">
        <v>1124</v>
      </c>
      <c r="C2136" s="39" t="s">
        <v>2467</v>
      </c>
      <c r="D2136" s="74" t="s">
        <v>1227</v>
      </c>
      <c r="E2136" s="74" t="s">
        <v>1224</v>
      </c>
      <c r="F2136" s="74" t="s">
        <v>1226</v>
      </c>
      <c r="G2136" s="74" t="s">
        <v>1225</v>
      </c>
    </row>
    <row r="2137" spans="1:7" x14ac:dyDescent="0.2">
      <c r="A2137" s="39">
        <v>8761</v>
      </c>
      <c r="B2137" s="38" t="s">
        <v>1125</v>
      </c>
      <c r="C2137" s="39" t="s">
        <v>2467</v>
      </c>
      <c r="D2137" s="74" t="s">
        <v>1227</v>
      </c>
      <c r="E2137" s="74" t="s">
        <v>1224</v>
      </c>
      <c r="F2137" s="74" t="s">
        <v>1226</v>
      </c>
      <c r="G2137" s="74" t="s">
        <v>1226</v>
      </c>
    </row>
    <row r="2138" spans="1:7" x14ac:dyDescent="0.2">
      <c r="A2138" s="39">
        <v>8762</v>
      </c>
      <c r="B2138" s="38" t="s">
        <v>1126</v>
      </c>
      <c r="C2138" s="39" t="s">
        <v>2467</v>
      </c>
      <c r="D2138" s="74" t="s">
        <v>1227</v>
      </c>
      <c r="E2138" s="74" t="s">
        <v>1224</v>
      </c>
      <c r="F2138" s="74" t="s">
        <v>1226</v>
      </c>
      <c r="G2138" s="74" t="s">
        <v>1226</v>
      </c>
    </row>
    <row r="2139" spans="1:7" x14ac:dyDescent="0.2">
      <c r="A2139" s="39">
        <v>8763</v>
      </c>
      <c r="B2139" s="38" t="s">
        <v>1127</v>
      </c>
      <c r="C2139" s="39" t="s">
        <v>2467</v>
      </c>
      <c r="D2139" s="74" t="s">
        <v>1227</v>
      </c>
      <c r="E2139" s="74" t="s">
        <v>1224</v>
      </c>
      <c r="F2139" s="74" t="s">
        <v>1226</v>
      </c>
      <c r="G2139" s="74" t="s">
        <v>1226</v>
      </c>
    </row>
    <row r="2140" spans="1:7" x14ac:dyDescent="0.2">
      <c r="A2140" s="39">
        <v>8764</v>
      </c>
      <c r="B2140" s="38" t="s">
        <v>1128</v>
      </c>
      <c r="C2140" s="39" t="s">
        <v>2467</v>
      </c>
      <c r="D2140" s="74" t="s">
        <v>1227</v>
      </c>
      <c r="E2140" s="74" t="s">
        <v>1224</v>
      </c>
      <c r="F2140" s="74" t="s">
        <v>1226</v>
      </c>
      <c r="G2140" s="74" t="s">
        <v>1225</v>
      </c>
    </row>
    <row r="2141" spans="1:7" x14ac:dyDescent="0.2">
      <c r="A2141" s="39">
        <v>8765</v>
      </c>
      <c r="B2141" s="38" t="s">
        <v>1129</v>
      </c>
      <c r="C2141" s="39" t="s">
        <v>2467</v>
      </c>
      <c r="D2141" s="74" t="s">
        <v>1227</v>
      </c>
      <c r="E2141" s="74" t="s">
        <v>1224</v>
      </c>
      <c r="F2141" s="74" t="s">
        <v>1226</v>
      </c>
      <c r="G2141" s="74" t="s">
        <v>1225</v>
      </c>
    </row>
    <row r="2142" spans="1:7" x14ac:dyDescent="0.2">
      <c r="A2142" s="39">
        <v>8770</v>
      </c>
      <c r="B2142" s="38" t="s">
        <v>1130</v>
      </c>
      <c r="C2142" s="39" t="s">
        <v>2467</v>
      </c>
      <c r="D2142" s="74" t="s">
        <v>1227</v>
      </c>
      <c r="E2142" s="74" t="s">
        <v>1224</v>
      </c>
      <c r="F2142" s="74" t="s">
        <v>1226</v>
      </c>
      <c r="G2142" s="74" t="s">
        <v>1226</v>
      </c>
    </row>
    <row r="2143" spans="1:7" x14ac:dyDescent="0.2">
      <c r="A2143" s="39">
        <v>8772</v>
      </c>
      <c r="B2143" s="38" t="s">
        <v>1131</v>
      </c>
      <c r="C2143" s="39" t="s">
        <v>2467</v>
      </c>
      <c r="D2143" s="74" t="s">
        <v>1227</v>
      </c>
      <c r="E2143" s="74" t="s">
        <v>1224</v>
      </c>
      <c r="F2143" s="74" t="s">
        <v>1226</v>
      </c>
      <c r="G2143" s="74" t="s">
        <v>1225</v>
      </c>
    </row>
    <row r="2144" spans="1:7" x14ac:dyDescent="0.2">
      <c r="A2144" s="39">
        <v>8773</v>
      </c>
      <c r="B2144" s="38" t="s">
        <v>1132</v>
      </c>
      <c r="C2144" s="39" t="s">
        <v>2467</v>
      </c>
      <c r="D2144" s="74" t="s">
        <v>1227</v>
      </c>
      <c r="E2144" s="74" t="s">
        <v>1224</v>
      </c>
      <c r="F2144" s="74" t="s">
        <v>1226</v>
      </c>
      <c r="G2144" s="74" t="s">
        <v>1226</v>
      </c>
    </row>
    <row r="2145" spans="1:7" x14ac:dyDescent="0.2">
      <c r="A2145" s="39">
        <v>8774</v>
      </c>
      <c r="B2145" s="38" t="s">
        <v>1133</v>
      </c>
      <c r="C2145" s="39" t="s">
        <v>2467</v>
      </c>
      <c r="D2145" s="74" t="s">
        <v>1227</v>
      </c>
      <c r="E2145" s="74" t="s">
        <v>1224</v>
      </c>
      <c r="F2145" s="74" t="s">
        <v>1226</v>
      </c>
      <c r="G2145" s="74" t="s">
        <v>1225</v>
      </c>
    </row>
    <row r="2146" spans="1:7" x14ac:dyDescent="0.2">
      <c r="A2146" s="39">
        <v>8775</v>
      </c>
      <c r="B2146" s="38" t="s">
        <v>1134</v>
      </c>
      <c r="C2146" s="39" t="s">
        <v>2467</v>
      </c>
      <c r="D2146" s="74" t="s">
        <v>1227</v>
      </c>
      <c r="E2146" s="74" t="s">
        <v>1224</v>
      </c>
      <c r="F2146" s="74" t="s">
        <v>1226</v>
      </c>
      <c r="G2146" s="74" t="s">
        <v>1226</v>
      </c>
    </row>
    <row r="2147" spans="1:7" x14ac:dyDescent="0.2">
      <c r="A2147" s="39">
        <v>8781</v>
      </c>
      <c r="B2147" s="38" t="s">
        <v>1135</v>
      </c>
      <c r="C2147" s="39" t="s">
        <v>2467</v>
      </c>
      <c r="D2147" s="74" t="s">
        <v>1227</v>
      </c>
      <c r="E2147" s="74" t="s">
        <v>1224</v>
      </c>
      <c r="F2147" s="74" t="s">
        <v>1226</v>
      </c>
      <c r="G2147" s="74" t="s">
        <v>1225</v>
      </c>
    </row>
    <row r="2148" spans="1:7" x14ac:dyDescent="0.2">
      <c r="A2148" s="39">
        <v>8782</v>
      </c>
      <c r="B2148" s="38" t="s">
        <v>1136</v>
      </c>
      <c r="C2148" s="39" t="s">
        <v>2467</v>
      </c>
      <c r="D2148" s="74" t="s">
        <v>1227</v>
      </c>
      <c r="E2148" s="74" t="s">
        <v>1224</v>
      </c>
      <c r="F2148" s="74" t="s">
        <v>1226</v>
      </c>
      <c r="G2148" s="74" t="s">
        <v>1225</v>
      </c>
    </row>
    <row r="2149" spans="1:7" x14ac:dyDescent="0.2">
      <c r="A2149" s="39">
        <v>8783</v>
      </c>
      <c r="B2149" s="38" t="s">
        <v>1137</v>
      </c>
      <c r="C2149" s="39" t="s">
        <v>2467</v>
      </c>
      <c r="D2149" s="74" t="s">
        <v>1227</v>
      </c>
      <c r="E2149" s="74" t="s">
        <v>1224</v>
      </c>
      <c r="F2149" s="74" t="s">
        <v>1226</v>
      </c>
      <c r="G2149" s="74" t="s">
        <v>1225</v>
      </c>
    </row>
    <row r="2150" spans="1:7" x14ac:dyDescent="0.2">
      <c r="A2150" s="39">
        <v>8784</v>
      </c>
      <c r="B2150" s="38" t="s">
        <v>1138</v>
      </c>
      <c r="C2150" s="39" t="s">
        <v>2467</v>
      </c>
      <c r="D2150" s="74" t="s">
        <v>1227</v>
      </c>
      <c r="E2150" s="74" t="s">
        <v>1224</v>
      </c>
      <c r="F2150" s="74" t="s">
        <v>1226</v>
      </c>
      <c r="G2150" s="74" t="s">
        <v>1226</v>
      </c>
    </row>
    <row r="2151" spans="1:7" x14ac:dyDescent="0.2">
      <c r="A2151" s="39">
        <v>8785</v>
      </c>
      <c r="B2151" s="38" t="s">
        <v>1139</v>
      </c>
      <c r="C2151" s="39" t="s">
        <v>2467</v>
      </c>
      <c r="D2151" s="74" t="s">
        <v>1227</v>
      </c>
      <c r="E2151" s="74" t="s">
        <v>1224</v>
      </c>
      <c r="F2151" s="74" t="s">
        <v>1226</v>
      </c>
      <c r="G2151" s="74" t="s">
        <v>1225</v>
      </c>
    </row>
    <row r="2152" spans="1:7" x14ac:dyDescent="0.2">
      <c r="A2152" s="39">
        <v>8786</v>
      </c>
      <c r="B2152" s="38" t="s">
        <v>1140</v>
      </c>
      <c r="C2152" s="39" t="s">
        <v>2467</v>
      </c>
      <c r="D2152" s="74" t="s">
        <v>1227</v>
      </c>
      <c r="E2152" s="74" t="s">
        <v>1224</v>
      </c>
      <c r="F2152" s="74" t="s">
        <v>1226</v>
      </c>
      <c r="G2152" s="74" t="s">
        <v>1226</v>
      </c>
    </row>
    <row r="2153" spans="1:7" x14ac:dyDescent="0.2">
      <c r="A2153" s="39">
        <v>8790</v>
      </c>
      <c r="B2153" s="38" t="s">
        <v>132</v>
      </c>
      <c r="C2153" s="39" t="s">
        <v>2467</v>
      </c>
      <c r="D2153" s="74" t="s">
        <v>1227</v>
      </c>
      <c r="E2153" s="74" t="s">
        <v>1224</v>
      </c>
      <c r="F2153" s="74" t="s">
        <v>1226</v>
      </c>
      <c r="G2153" s="74" t="s">
        <v>1226</v>
      </c>
    </row>
    <row r="2154" spans="1:7" x14ac:dyDescent="0.2">
      <c r="A2154" s="39">
        <v>8792</v>
      </c>
      <c r="B2154" s="38" t="s">
        <v>1141</v>
      </c>
      <c r="C2154" s="39" t="s">
        <v>2467</v>
      </c>
      <c r="D2154" s="74" t="s">
        <v>1227</v>
      </c>
      <c r="E2154" s="74" t="s">
        <v>1224</v>
      </c>
      <c r="F2154" s="74" t="s">
        <v>1226</v>
      </c>
      <c r="G2154" s="74" t="s">
        <v>1225</v>
      </c>
    </row>
    <row r="2155" spans="1:7" x14ac:dyDescent="0.2">
      <c r="A2155" s="39">
        <v>8793</v>
      </c>
      <c r="B2155" s="38" t="s">
        <v>1142</v>
      </c>
      <c r="C2155" s="39" t="s">
        <v>2467</v>
      </c>
      <c r="D2155" s="74" t="s">
        <v>1227</v>
      </c>
      <c r="E2155" s="74" t="s">
        <v>1224</v>
      </c>
      <c r="F2155" s="74" t="s">
        <v>1226</v>
      </c>
      <c r="G2155" s="74" t="s">
        <v>1226</v>
      </c>
    </row>
    <row r="2156" spans="1:7" x14ac:dyDescent="0.2">
      <c r="A2156" s="39">
        <v>8794</v>
      </c>
      <c r="B2156" s="38" t="s">
        <v>1143</v>
      </c>
      <c r="C2156" s="39" t="s">
        <v>2467</v>
      </c>
      <c r="D2156" s="74" t="s">
        <v>1227</v>
      </c>
      <c r="E2156" s="74" t="s">
        <v>1224</v>
      </c>
      <c r="F2156" s="74" t="s">
        <v>1226</v>
      </c>
      <c r="G2156" s="74" t="s">
        <v>1225</v>
      </c>
    </row>
    <row r="2157" spans="1:7" x14ac:dyDescent="0.2">
      <c r="A2157" s="39">
        <v>8795</v>
      </c>
      <c r="B2157" s="38" t="s">
        <v>1144</v>
      </c>
      <c r="C2157" s="39" t="s">
        <v>2467</v>
      </c>
      <c r="D2157" s="74" t="s">
        <v>1227</v>
      </c>
      <c r="E2157" s="74" t="s">
        <v>1224</v>
      </c>
      <c r="F2157" s="74" t="s">
        <v>1226</v>
      </c>
      <c r="G2157" s="74" t="s">
        <v>1225</v>
      </c>
    </row>
    <row r="2158" spans="1:7" x14ac:dyDescent="0.2">
      <c r="A2158" s="39">
        <v>8800</v>
      </c>
      <c r="B2158" s="38" t="s">
        <v>1145</v>
      </c>
      <c r="C2158" s="39" t="s">
        <v>2467</v>
      </c>
      <c r="D2158" s="74" t="s">
        <v>1227</v>
      </c>
      <c r="E2158" s="74" t="s">
        <v>1224</v>
      </c>
      <c r="F2158" s="74" t="s">
        <v>1226</v>
      </c>
      <c r="G2158" s="74" t="s">
        <v>1226</v>
      </c>
    </row>
    <row r="2159" spans="1:7" x14ac:dyDescent="0.2">
      <c r="A2159" s="39">
        <v>8811</v>
      </c>
      <c r="B2159" s="38" t="s">
        <v>1146</v>
      </c>
      <c r="C2159" s="39" t="s">
        <v>2467</v>
      </c>
      <c r="D2159" s="74" t="s">
        <v>1227</v>
      </c>
      <c r="E2159" s="74" t="s">
        <v>1224</v>
      </c>
      <c r="F2159" s="74" t="s">
        <v>1226</v>
      </c>
      <c r="G2159" s="74" t="s">
        <v>1226</v>
      </c>
    </row>
    <row r="2160" spans="1:7" x14ac:dyDescent="0.2">
      <c r="A2160" s="39">
        <v>8812</v>
      </c>
      <c r="B2160" s="38" t="s">
        <v>1147</v>
      </c>
      <c r="C2160" s="39" t="s">
        <v>2467</v>
      </c>
      <c r="D2160" s="74" t="s">
        <v>1227</v>
      </c>
      <c r="E2160" s="74" t="s">
        <v>1224</v>
      </c>
      <c r="F2160" s="74" t="s">
        <v>1226</v>
      </c>
      <c r="G2160" s="74" t="s">
        <v>1225</v>
      </c>
    </row>
    <row r="2161" spans="1:7" x14ac:dyDescent="0.2">
      <c r="A2161" s="39">
        <v>8813</v>
      </c>
      <c r="B2161" s="38" t="s">
        <v>1148</v>
      </c>
      <c r="C2161" s="39" t="s">
        <v>2467</v>
      </c>
      <c r="D2161" s="74" t="s">
        <v>1227</v>
      </c>
      <c r="E2161" s="74" t="s">
        <v>1224</v>
      </c>
      <c r="F2161" s="74" t="s">
        <v>1226</v>
      </c>
      <c r="G2161" s="74" t="s">
        <v>1225</v>
      </c>
    </row>
    <row r="2162" spans="1:7" x14ac:dyDescent="0.2">
      <c r="A2162" s="39">
        <v>8820</v>
      </c>
      <c r="B2162" s="38" t="s">
        <v>1149</v>
      </c>
      <c r="C2162" s="39" t="s">
        <v>2467</v>
      </c>
      <c r="D2162" s="74" t="s">
        <v>1227</v>
      </c>
      <c r="E2162" s="74" t="s">
        <v>1224</v>
      </c>
      <c r="F2162" s="74" t="s">
        <v>1226</v>
      </c>
      <c r="G2162" s="74" t="s">
        <v>1226</v>
      </c>
    </row>
    <row r="2163" spans="1:7" x14ac:dyDescent="0.2">
      <c r="A2163" s="39">
        <v>8822</v>
      </c>
      <c r="B2163" s="38" t="s">
        <v>1150</v>
      </c>
      <c r="C2163" s="39" t="s">
        <v>2467</v>
      </c>
      <c r="D2163" s="74" t="s">
        <v>1227</v>
      </c>
      <c r="E2163" s="74" t="s">
        <v>1224</v>
      </c>
      <c r="F2163" s="74" t="s">
        <v>1226</v>
      </c>
      <c r="G2163" s="74" t="s">
        <v>1225</v>
      </c>
    </row>
    <row r="2164" spans="1:7" x14ac:dyDescent="0.2">
      <c r="A2164" s="39">
        <v>8831</v>
      </c>
      <c r="B2164" s="38" t="s">
        <v>1151</v>
      </c>
      <c r="C2164" s="39" t="s">
        <v>2467</v>
      </c>
      <c r="D2164" s="74" t="s">
        <v>1227</v>
      </c>
      <c r="E2164" s="74" t="s">
        <v>1224</v>
      </c>
      <c r="F2164" s="74" t="s">
        <v>1226</v>
      </c>
      <c r="G2164" s="74" t="s">
        <v>1225</v>
      </c>
    </row>
    <row r="2165" spans="1:7" x14ac:dyDescent="0.2">
      <c r="A2165" s="39">
        <v>8832</v>
      </c>
      <c r="B2165" s="38" t="s">
        <v>1152</v>
      </c>
      <c r="C2165" s="39" t="s">
        <v>2467</v>
      </c>
      <c r="D2165" s="74" t="s">
        <v>1227</v>
      </c>
      <c r="E2165" s="74" t="s">
        <v>1224</v>
      </c>
      <c r="F2165" s="74" t="s">
        <v>1226</v>
      </c>
      <c r="G2165" s="74" t="s">
        <v>1226</v>
      </c>
    </row>
    <row r="2166" spans="1:7" x14ac:dyDescent="0.2">
      <c r="A2166" s="39">
        <v>8833</v>
      </c>
      <c r="B2166" s="38" t="s">
        <v>1153</v>
      </c>
      <c r="C2166" s="39" t="s">
        <v>2467</v>
      </c>
      <c r="D2166" s="74" t="s">
        <v>1227</v>
      </c>
      <c r="E2166" s="74" t="s">
        <v>1224</v>
      </c>
      <c r="F2166" s="74" t="s">
        <v>1226</v>
      </c>
      <c r="G2166" s="74" t="s">
        <v>1225</v>
      </c>
    </row>
    <row r="2167" spans="1:7" x14ac:dyDescent="0.2">
      <c r="A2167" s="39">
        <v>8841</v>
      </c>
      <c r="B2167" s="38" t="s">
        <v>1154</v>
      </c>
      <c r="C2167" s="39" t="s">
        <v>2467</v>
      </c>
      <c r="D2167" s="74" t="s">
        <v>1227</v>
      </c>
      <c r="E2167" s="74" t="s">
        <v>1224</v>
      </c>
      <c r="F2167" s="74" t="s">
        <v>1226</v>
      </c>
      <c r="G2167" s="74" t="s">
        <v>1225</v>
      </c>
    </row>
    <row r="2168" spans="1:7" x14ac:dyDescent="0.2">
      <c r="A2168" s="39">
        <v>8842</v>
      </c>
      <c r="B2168" s="38" t="s">
        <v>1155</v>
      </c>
      <c r="C2168" s="39" t="s">
        <v>2467</v>
      </c>
      <c r="D2168" s="74" t="s">
        <v>1227</v>
      </c>
      <c r="E2168" s="74" t="s">
        <v>1224</v>
      </c>
      <c r="F2168" s="74" t="s">
        <v>1226</v>
      </c>
      <c r="G2168" s="74" t="s">
        <v>1226</v>
      </c>
    </row>
    <row r="2169" spans="1:7" x14ac:dyDescent="0.2">
      <c r="A2169" s="39">
        <v>8843</v>
      </c>
      <c r="B2169" s="38" t="s">
        <v>1156</v>
      </c>
      <c r="C2169" s="39" t="s">
        <v>2467</v>
      </c>
      <c r="D2169" s="74" t="s">
        <v>1227</v>
      </c>
      <c r="E2169" s="74" t="s">
        <v>1224</v>
      </c>
      <c r="F2169" s="74" t="s">
        <v>1226</v>
      </c>
      <c r="G2169" s="74" t="s">
        <v>1225</v>
      </c>
    </row>
    <row r="2170" spans="1:7" x14ac:dyDescent="0.2">
      <c r="A2170" s="39">
        <v>8844</v>
      </c>
      <c r="B2170" s="38" t="s">
        <v>1385</v>
      </c>
      <c r="C2170" s="39" t="s">
        <v>2467</v>
      </c>
      <c r="D2170" s="74" t="s">
        <v>1227</v>
      </c>
      <c r="E2170" s="74" t="s">
        <v>1224</v>
      </c>
      <c r="F2170" s="74" t="s">
        <v>1226</v>
      </c>
      <c r="G2170" s="74" t="s">
        <v>1225</v>
      </c>
    </row>
    <row r="2171" spans="1:7" x14ac:dyDescent="0.2">
      <c r="A2171" s="39">
        <v>8850</v>
      </c>
      <c r="B2171" s="38" t="s">
        <v>1386</v>
      </c>
      <c r="C2171" s="39" t="s">
        <v>2467</v>
      </c>
      <c r="D2171" s="74" t="s">
        <v>1227</v>
      </c>
      <c r="E2171" s="74" t="s">
        <v>1224</v>
      </c>
      <c r="F2171" s="74" t="s">
        <v>1226</v>
      </c>
      <c r="G2171" s="74" t="s">
        <v>1226</v>
      </c>
    </row>
    <row r="2172" spans="1:7" x14ac:dyDescent="0.2">
      <c r="A2172" s="39">
        <v>8852</v>
      </c>
      <c r="B2172" s="38" t="s">
        <v>1387</v>
      </c>
      <c r="C2172" s="39" t="s">
        <v>2467</v>
      </c>
      <c r="D2172" s="74" t="s">
        <v>1227</v>
      </c>
      <c r="E2172" s="74" t="s">
        <v>1224</v>
      </c>
      <c r="F2172" s="74" t="s">
        <v>1226</v>
      </c>
      <c r="G2172" s="74" t="s">
        <v>1225</v>
      </c>
    </row>
    <row r="2173" spans="1:7" x14ac:dyDescent="0.2">
      <c r="A2173" s="39">
        <v>8853</v>
      </c>
      <c r="B2173" s="38" t="s">
        <v>1388</v>
      </c>
      <c r="C2173" s="39" t="s">
        <v>2467</v>
      </c>
      <c r="D2173" s="74" t="s">
        <v>1227</v>
      </c>
      <c r="E2173" s="74" t="s">
        <v>1224</v>
      </c>
      <c r="F2173" s="74" t="s">
        <v>1226</v>
      </c>
      <c r="G2173" s="74" t="s">
        <v>1225</v>
      </c>
    </row>
    <row r="2174" spans="1:7" x14ac:dyDescent="0.2">
      <c r="A2174" s="39">
        <v>8854</v>
      </c>
      <c r="B2174" s="38" t="s">
        <v>1389</v>
      </c>
      <c r="C2174" s="39" t="s">
        <v>2467</v>
      </c>
      <c r="D2174" s="74" t="s">
        <v>1227</v>
      </c>
      <c r="E2174" s="74" t="s">
        <v>1224</v>
      </c>
      <c r="F2174" s="74" t="s">
        <v>1226</v>
      </c>
      <c r="G2174" s="74" t="s">
        <v>1225</v>
      </c>
    </row>
    <row r="2175" spans="1:7" x14ac:dyDescent="0.2">
      <c r="A2175" s="39">
        <v>8861</v>
      </c>
      <c r="B2175" s="38" t="s">
        <v>1390</v>
      </c>
      <c r="C2175" s="39" t="s">
        <v>2467</v>
      </c>
      <c r="D2175" s="74" t="s">
        <v>1227</v>
      </c>
      <c r="E2175" s="74" t="s">
        <v>1224</v>
      </c>
      <c r="F2175" s="74" t="s">
        <v>1226</v>
      </c>
      <c r="G2175" s="74" t="s">
        <v>1225</v>
      </c>
    </row>
    <row r="2176" spans="1:7" x14ac:dyDescent="0.2">
      <c r="A2176" s="39">
        <v>8862</v>
      </c>
      <c r="B2176" s="38" t="s">
        <v>1391</v>
      </c>
      <c r="C2176" s="39" t="s">
        <v>2467</v>
      </c>
      <c r="D2176" s="74" t="s">
        <v>1227</v>
      </c>
      <c r="E2176" s="74" t="s">
        <v>1224</v>
      </c>
      <c r="F2176" s="74" t="s">
        <v>1226</v>
      </c>
      <c r="G2176" s="74" t="s">
        <v>1226</v>
      </c>
    </row>
    <row r="2177" spans="1:7" x14ac:dyDescent="0.2">
      <c r="A2177" s="39">
        <v>8863</v>
      </c>
      <c r="B2177" s="38" t="s">
        <v>1392</v>
      </c>
      <c r="C2177" s="39" t="s">
        <v>2467</v>
      </c>
      <c r="D2177" s="74" t="s">
        <v>1227</v>
      </c>
      <c r="E2177" s="74" t="s">
        <v>1224</v>
      </c>
      <c r="F2177" s="74" t="s">
        <v>1226</v>
      </c>
      <c r="G2177" s="74" t="s">
        <v>1225</v>
      </c>
    </row>
    <row r="2178" spans="1:7" x14ac:dyDescent="0.2">
      <c r="A2178" s="39">
        <v>8864</v>
      </c>
      <c r="B2178" s="38" t="s">
        <v>1393</v>
      </c>
      <c r="C2178" s="39" t="s">
        <v>2467</v>
      </c>
      <c r="D2178" s="74" t="s">
        <v>1227</v>
      </c>
      <c r="E2178" s="74" t="s">
        <v>1224</v>
      </c>
      <c r="F2178" s="74" t="s">
        <v>1226</v>
      </c>
      <c r="G2178" s="74" t="s">
        <v>1225</v>
      </c>
    </row>
    <row r="2179" spans="1:7" x14ac:dyDescent="0.2">
      <c r="A2179" s="39">
        <v>8900</v>
      </c>
      <c r="B2179" s="38" t="s">
        <v>1394</v>
      </c>
      <c r="C2179" s="39" t="s">
        <v>2467</v>
      </c>
      <c r="D2179" s="74" t="s">
        <v>1227</v>
      </c>
      <c r="E2179" s="74" t="s">
        <v>1224</v>
      </c>
      <c r="F2179" s="74" t="s">
        <v>1226</v>
      </c>
      <c r="G2179" s="74" t="s">
        <v>1225</v>
      </c>
    </row>
    <row r="2180" spans="1:7" x14ac:dyDescent="0.2">
      <c r="A2180" s="39">
        <v>8903</v>
      </c>
      <c r="B2180" s="38" t="s">
        <v>1395</v>
      </c>
      <c r="C2180" s="39" t="s">
        <v>2467</v>
      </c>
      <c r="D2180" s="74" t="s">
        <v>1227</v>
      </c>
      <c r="E2180" s="74" t="s">
        <v>1224</v>
      </c>
      <c r="F2180" s="74" t="s">
        <v>1226</v>
      </c>
      <c r="G2180" s="74" t="s">
        <v>1225</v>
      </c>
    </row>
    <row r="2181" spans="1:7" x14ac:dyDescent="0.2">
      <c r="A2181" s="39">
        <v>8904</v>
      </c>
      <c r="B2181" s="38" t="s">
        <v>1396</v>
      </c>
      <c r="C2181" s="39" t="s">
        <v>2467</v>
      </c>
      <c r="D2181" s="74" t="s">
        <v>1227</v>
      </c>
      <c r="E2181" s="74" t="s">
        <v>1224</v>
      </c>
      <c r="F2181" s="74" t="s">
        <v>1226</v>
      </c>
      <c r="G2181" s="74" t="s">
        <v>1225</v>
      </c>
    </row>
    <row r="2182" spans="1:7" x14ac:dyDescent="0.2">
      <c r="A2182" s="39">
        <v>8911</v>
      </c>
      <c r="B2182" s="38" t="s">
        <v>101</v>
      </c>
      <c r="C2182" s="39" t="s">
        <v>2467</v>
      </c>
      <c r="D2182" s="74" t="s">
        <v>1227</v>
      </c>
      <c r="E2182" s="74" t="s">
        <v>1224</v>
      </c>
      <c r="F2182" s="74" t="s">
        <v>1226</v>
      </c>
      <c r="G2182" s="74" t="s">
        <v>1226</v>
      </c>
    </row>
    <row r="2183" spans="1:7" x14ac:dyDescent="0.2">
      <c r="A2183" s="39">
        <v>8912</v>
      </c>
      <c r="B2183" s="38" t="s">
        <v>1397</v>
      </c>
      <c r="C2183" s="39" t="s">
        <v>2467</v>
      </c>
      <c r="D2183" s="74" t="s">
        <v>1227</v>
      </c>
      <c r="E2183" s="74" t="s">
        <v>1224</v>
      </c>
      <c r="F2183" s="74" t="s">
        <v>1226</v>
      </c>
      <c r="G2183" s="74" t="s">
        <v>1225</v>
      </c>
    </row>
    <row r="2184" spans="1:7" x14ac:dyDescent="0.2">
      <c r="A2184" s="39">
        <v>8913</v>
      </c>
      <c r="B2184" s="38" t="s">
        <v>1398</v>
      </c>
      <c r="C2184" s="39" t="s">
        <v>2467</v>
      </c>
      <c r="D2184" s="74" t="s">
        <v>1227</v>
      </c>
      <c r="E2184" s="74" t="s">
        <v>1224</v>
      </c>
      <c r="F2184" s="74" t="s">
        <v>1226</v>
      </c>
      <c r="G2184" s="74" t="s">
        <v>1225</v>
      </c>
    </row>
    <row r="2185" spans="1:7" x14ac:dyDescent="0.2">
      <c r="A2185" s="39">
        <v>8920</v>
      </c>
      <c r="B2185" s="38" t="s">
        <v>1399</v>
      </c>
      <c r="C2185" s="39" t="s">
        <v>2467</v>
      </c>
      <c r="D2185" s="74" t="s">
        <v>1227</v>
      </c>
      <c r="E2185" s="74" t="s">
        <v>1224</v>
      </c>
      <c r="F2185" s="74" t="s">
        <v>1226</v>
      </c>
      <c r="G2185" s="74" t="s">
        <v>1226</v>
      </c>
    </row>
    <row r="2186" spans="1:7" x14ac:dyDescent="0.2">
      <c r="A2186" s="39">
        <v>8921</v>
      </c>
      <c r="B2186" s="38" t="s">
        <v>1400</v>
      </c>
      <c r="C2186" s="39" t="s">
        <v>2467</v>
      </c>
      <c r="D2186" s="74" t="s">
        <v>1227</v>
      </c>
      <c r="E2186" s="74" t="s">
        <v>1224</v>
      </c>
      <c r="F2186" s="74" t="s">
        <v>1226</v>
      </c>
      <c r="G2186" s="74" t="s">
        <v>1225</v>
      </c>
    </row>
    <row r="2187" spans="1:7" x14ac:dyDescent="0.2">
      <c r="A2187" s="39">
        <v>8922</v>
      </c>
      <c r="B2187" s="38" t="s">
        <v>1401</v>
      </c>
      <c r="C2187" s="39" t="s">
        <v>2467</v>
      </c>
      <c r="D2187" s="74" t="s">
        <v>1227</v>
      </c>
      <c r="E2187" s="74" t="s">
        <v>1224</v>
      </c>
      <c r="F2187" s="74" t="s">
        <v>1226</v>
      </c>
      <c r="G2187" s="74" t="s">
        <v>1225</v>
      </c>
    </row>
    <row r="2188" spans="1:7" x14ac:dyDescent="0.2">
      <c r="A2188" s="39">
        <v>8923</v>
      </c>
      <c r="B2188" s="38" t="s">
        <v>1402</v>
      </c>
      <c r="C2188" s="39" t="s">
        <v>2467</v>
      </c>
      <c r="D2188" s="74" t="s">
        <v>1227</v>
      </c>
      <c r="E2188" s="74" t="s">
        <v>1224</v>
      </c>
      <c r="F2188" s="74" t="s">
        <v>1226</v>
      </c>
      <c r="G2188" s="74" t="s">
        <v>1225</v>
      </c>
    </row>
    <row r="2189" spans="1:7" x14ac:dyDescent="0.2">
      <c r="A2189" s="39">
        <v>8924</v>
      </c>
      <c r="B2189" s="38" t="s">
        <v>1403</v>
      </c>
      <c r="C2189" s="39" t="s">
        <v>2467</v>
      </c>
      <c r="D2189" s="74" t="s">
        <v>1227</v>
      </c>
      <c r="E2189" s="74" t="s">
        <v>1224</v>
      </c>
      <c r="F2189" s="74" t="s">
        <v>1226</v>
      </c>
      <c r="G2189" s="74" t="s">
        <v>1225</v>
      </c>
    </row>
    <row r="2190" spans="1:7" x14ac:dyDescent="0.2">
      <c r="A2190" s="39">
        <v>8931</v>
      </c>
      <c r="B2190" s="38" t="s">
        <v>1404</v>
      </c>
      <c r="C2190" s="39" t="s">
        <v>2467</v>
      </c>
      <c r="D2190" s="74" t="s">
        <v>1227</v>
      </c>
      <c r="E2190" s="74" t="s">
        <v>1224</v>
      </c>
      <c r="F2190" s="74" t="s">
        <v>1226</v>
      </c>
      <c r="G2190" s="74" t="s">
        <v>1226</v>
      </c>
    </row>
    <row r="2191" spans="1:7" x14ac:dyDescent="0.2">
      <c r="A2191" s="39">
        <v>8932</v>
      </c>
      <c r="B2191" s="38" t="s">
        <v>1405</v>
      </c>
      <c r="C2191" s="39" t="s">
        <v>2467</v>
      </c>
      <c r="D2191" s="74" t="s">
        <v>1227</v>
      </c>
      <c r="E2191" s="74" t="s">
        <v>1224</v>
      </c>
      <c r="F2191" s="74" t="s">
        <v>1226</v>
      </c>
      <c r="G2191" s="74" t="s">
        <v>1225</v>
      </c>
    </row>
    <row r="2192" spans="1:7" x14ac:dyDescent="0.2">
      <c r="A2192" s="39">
        <v>8933</v>
      </c>
      <c r="B2192" s="38" t="s">
        <v>1406</v>
      </c>
      <c r="C2192" s="39" t="s">
        <v>2467</v>
      </c>
      <c r="D2192" s="74" t="s">
        <v>1227</v>
      </c>
      <c r="E2192" s="74" t="s">
        <v>1224</v>
      </c>
      <c r="F2192" s="74" t="s">
        <v>1226</v>
      </c>
      <c r="G2192" s="74" t="s">
        <v>1226</v>
      </c>
    </row>
    <row r="2193" spans="1:7" x14ac:dyDescent="0.2">
      <c r="A2193" s="39">
        <v>8934</v>
      </c>
      <c r="B2193" s="38" t="s">
        <v>1407</v>
      </c>
      <c r="C2193" s="39" t="s">
        <v>2467</v>
      </c>
      <c r="D2193" s="74" t="s">
        <v>1227</v>
      </c>
      <c r="E2193" s="74" t="s">
        <v>1224</v>
      </c>
      <c r="F2193" s="74" t="s">
        <v>1226</v>
      </c>
      <c r="G2193" s="74" t="s">
        <v>1225</v>
      </c>
    </row>
    <row r="2194" spans="1:7" x14ac:dyDescent="0.2">
      <c r="A2194" s="39">
        <v>8940</v>
      </c>
      <c r="B2194" s="38" t="s">
        <v>1408</v>
      </c>
      <c r="C2194" s="39" t="s">
        <v>2467</v>
      </c>
      <c r="D2194" s="74" t="s">
        <v>1227</v>
      </c>
      <c r="E2194" s="74" t="s">
        <v>1224</v>
      </c>
      <c r="F2194" s="74" t="s">
        <v>1226</v>
      </c>
      <c r="G2194" s="74" t="s">
        <v>1226</v>
      </c>
    </row>
    <row r="2195" spans="1:7" x14ac:dyDescent="0.2">
      <c r="A2195" s="39">
        <v>8942</v>
      </c>
      <c r="B2195" s="38" t="s">
        <v>1409</v>
      </c>
      <c r="C2195" s="39" t="s">
        <v>2467</v>
      </c>
      <c r="D2195" s="74" t="s">
        <v>1227</v>
      </c>
      <c r="E2195" s="74" t="s">
        <v>1224</v>
      </c>
      <c r="F2195" s="74" t="s">
        <v>1226</v>
      </c>
      <c r="G2195" s="74" t="s">
        <v>1225</v>
      </c>
    </row>
    <row r="2196" spans="1:7" x14ac:dyDescent="0.2">
      <c r="A2196" s="39">
        <v>8943</v>
      </c>
      <c r="B2196" s="38" t="s">
        <v>1410</v>
      </c>
      <c r="C2196" s="39" t="s">
        <v>2467</v>
      </c>
      <c r="D2196" s="74" t="s">
        <v>1227</v>
      </c>
      <c r="E2196" s="74" t="s">
        <v>1224</v>
      </c>
      <c r="F2196" s="74" t="s">
        <v>1226</v>
      </c>
      <c r="G2196" s="74" t="s">
        <v>1226</v>
      </c>
    </row>
    <row r="2197" spans="1:7" x14ac:dyDescent="0.2">
      <c r="A2197" s="39">
        <v>8950</v>
      </c>
      <c r="B2197" s="38" t="s">
        <v>1411</v>
      </c>
      <c r="C2197" s="39" t="s">
        <v>2467</v>
      </c>
      <c r="D2197" s="74" t="s">
        <v>1227</v>
      </c>
      <c r="E2197" s="74" t="s">
        <v>1224</v>
      </c>
      <c r="F2197" s="74" t="s">
        <v>1226</v>
      </c>
      <c r="G2197" s="74" t="s">
        <v>1226</v>
      </c>
    </row>
    <row r="2198" spans="1:7" x14ac:dyDescent="0.2">
      <c r="A2198" s="39">
        <v>8951</v>
      </c>
      <c r="B2198" s="38" t="s">
        <v>1412</v>
      </c>
      <c r="C2198" s="39" t="s">
        <v>2467</v>
      </c>
      <c r="D2198" s="74" t="s">
        <v>1227</v>
      </c>
      <c r="E2198" s="74" t="s">
        <v>1224</v>
      </c>
      <c r="F2198" s="74" t="s">
        <v>1226</v>
      </c>
      <c r="G2198" s="74" t="s">
        <v>1225</v>
      </c>
    </row>
    <row r="2199" spans="1:7" x14ac:dyDescent="0.2">
      <c r="A2199" s="39">
        <v>8952</v>
      </c>
      <c r="B2199" s="38" t="s">
        <v>1413</v>
      </c>
      <c r="C2199" s="39" t="s">
        <v>2467</v>
      </c>
      <c r="D2199" s="74" t="s">
        <v>1227</v>
      </c>
      <c r="E2199" s="74" t="s">
        <v>1224</v>
      </c>
      <c r="F2199" s="74" t="s">
        <v>1226</v>
      </c>
      <c r="G2199" s="74" t="s">
        <v>1226</v>
      </c>
    </row>
    <row r="2200" spans="1:7" x14ac:dyDescent="0.2">
      <c r="A2200" s="39">
        <v>8953</v>
      </c>
      <c r="B2200" s="38" t="s">
        <v>1414</v>
      </c>
      <c r="C2200" s="39" t="s">
        <v>2467</v>
      </c>
      <c r="D2200" s="74" t="s">
        <v>1227</v>
      </c>
      <c r="E2200" s="74" t="s">
        <v>1224</v>
      </c>
      <c r="F2200" s="74" t="s">
        <v>1226</v>
      </c>
      <c r="G2200" s="74" t="s">
        <v>1225</v>
      </c>
    </row>
    <row r="2201" spans="1:7" x14ac:dyDescent="0.2">
      <c r="A2201" s="39">
        <v>8954</v>
      </c>
      <c r="B2201" s="38" t="s">
        <v>1415</v>
      </c>
      <c r="C2201" s="39" t="s">
        <v>2467</v>
      </c>
      <c r="D2201" s="74" t="s">
        <v>1227</v>
      </c>
      <c r="E2201" s="74" t="s">
        <v>1224</v>
      </c>
      <c r="F2201" s="74" t="s">
        <v>1226</v>
      </c>
      <c r="G2201" s="74" t="s">
        <v>1225</v>
      </c>
    </row>
    <row r="2202" spans="1:7" x14ac:dyDescent="0.2">
      <c r="A2202" s="39">
        <v>8960</v>
      </c>
      <c r="B2202" s="38" t="s">
        <v>1416</v>
      </c>
      <c r="C2202" s="39" t="s">
        <v>2467</v>
      </c>
      <c r="D2202" s="74" t="s">
        <v>1227</v>
      </c>
      <c r="E2202" s="74" t="s">
        <v>1224</v>
      </c>
      <c r="F2202" s="74" t="s">
        <v>1226</v>
      </c>
      <c r="G2202" s="74" t="s">
        <v>1226</v>
      </c>
    </row>
    <row r="2203" spans="1:7" x14ac:dyDescent="0.2">
      <c r="A2203" s="39">
        <v>8961</v>
      </c>
      <c r="B2203" s="38" t="s">
        <v>1417</v>
      </c>
      <c r="C2203" s="39" t="s">
        <v>2467</v>
      </c>
      <c r="D2203" s="74" t="s">
        <v>1227</v>
      </c>
      <c r="E2203" s="74" t="s">
        <v>1224</v>
      </c>
      <c r="F2203" s="74" t="s">
        <v>1226</v>
      </c>
      <c r="G2203" s="74" t="s">
        <v>1225</v>
      </c>
    </row>
    <row r="2204" spans="1:7" x14ac:dyDescent="0.2">
      <c r="A2204" s="39">
        <v>8962</v>
      </c>
      <c r="B2204" s="38" t="s">
        <v>1418</v>
      </c>
      <c r="C2204" s="39" t="s">
        <v>2467</v>
      </c>
      <c r="D2204" s="74" t="s">
        <v>1227</v>
      </c>
      <c r="E2204" s="74" t="s">
        <v>1224</v>
      </c>
      <c r="F2204" s="74" t="s">
        <v>1226</v>
      </c>
      <c r="G2204" s="74" t="s">
        <v>1226</v>
      </c>
    </row>
    <row r="2205" spans="1:7" x14ac:dyDescent="0.2">
      <c r="A2205" s="39">
        <v>8965</v>
      </c>
      <c r="B2205" s="38" t="s">
        <v>1419</v>
      </c>
      <c r="C2205" s="39" t="s">
        <v>2467</v>
      </c>
      <c r="D2205" s="74" t="s">
        <v>1227</v>
      </c>
      <c r="E2205" s="74" t="s">
        <v>1224</v>
      </c>
      <c r="F2205" s="74" t="s">
        <v>1226</v>
      </c>
      <c r="G2205" s="74" t="s">
        <v>1225</v>
      </c>
    </row>
    <row r="2206" spans="1:7" x14ac:dyDescent="0.2">
      <c r="A2206" s="39">
        <v>8966</v>
      </c>
      <c r="B2206" s="38" t="s">
        <v>1420</v>
      </c>
      <c r="C2206" s="39" t="s">
        <v>2467</v>
      </c>
      <c r="D2206" s="74" t="s">
        <v>1227</v>
      </c>
      <c r="E2206" s="74" t="s">
        <v>1224</v>
      </c>
      <c r="F2206" s="74" t="s">
        <v>1226</v>
      </c>
      <c r="G2206" s="74" t="s">
        <v>1225</v>
      </c>
    </row>
    <row r="2207" spans="1:7" x14ac:dyDescent="0.2">
      <c r="A2207" s="39">
        <v>8967</v>
      </c>
      <c r="B2207" s="38" t="s">
        <v>1421</v>
      </c>
      <c r="C2207" s="39" t="s">
        <v>2467</v>
      </c>
      <c r="D2207" s="74" t="s">
        <v>1227</v>
      </c>
      <c r="E2207" s="74" t="s">
        <v>1224</v>
      </c>
      <c r="F2207" s="74" t="s">
        <v>1226</v>
      </c>
      <c r="G2207" s="74" t="s">
        <v>1226</v>
      </c>
    </row>
    <row r="2208" spans="1:7" x14ac:dyDescent="0.2">
      <c r="A2208" s="39">
        <v>8970</v>
      </c>
      <c r="B2208" s="38" t="s">
        <v>1422</v>
      </c>
      <c r="C2208" s="39" t="s">
        <v>2467</v>
      </c>
      <c r="D2208" s="74" t="s">
        <v>1227</v>
      </c>
      <c r="E2208" s="74" t="s">
        <v>1224</v>
      </c>
      <c r="F2208" s="74" t="s">
        <v>1226</v>
      </c>
      <c r="G2208" s="74" t="s">
        <v>1226</v>
      </c>
    </row>
    <row r="2209" spans="1:7" x14ac:dyDescent="0.2">
      <c r="A2209" s="39">
        <v>8971</v>
      </c>
      <c r="B2209" s="38" t="s">
        <v>1423</v>
      </c>
      <c r="C2209" s="39" t="s">
        <v>2467</v>
      </c>
      <c r="D2209" s="74" t="s">
        <v>1227</v>
      </c>
      <c r="E2209" s="74" t="s">
        <v>1224</v>
      </c>
      <c r="F2209" s="74" t="s">
        <v>1226</v>
      </c>
      <c r="G2209" s="74" t="s">
        <v>1225</v>
      </c>
    </row>
    <row r="2210" spans="1:7" x14ac:dyDescent="0.2">
      <c r="A2210" s="39">
        <v>8972</v>
      </c>
      <c r="B2210" s="38" t="s">
        <v>452</v>
      </c>
      <c r="C2210" s="39" t="s">
        <v>2467</v>
      </c>
      <c r="D2210" s="74" t="s">
        <v>1227</v>
      </c>
      <c r="E2210" s="74" t="s">
        <v>1224</v>
      </c>
      <c r="F2210" s="74" t="s">
        <v>1226</v>
      </c>
      <c r="G2210" s="74" t="s">
        <v>1226</v>
      </c>
    </row>
    <row r="2211" spans="1:7" x14ac:dyDescent="0.2">
      <c r="A2211" s="39">
        <v>8973</v>
      </c>
      <c r="B2211" s="38" t="s">
        <v>1424</v>
      </c>
      <c r="C2211" s="39" t="s">
        <v>2467</v>
      </c>
      <c r="D2211" s="74" t="s">
        <v>1227</v>
      </c>
      <c r="E2211" s="74" t="s">
        <v>1224</v>
      </c>
      <c r="F2211" s="74" t="s">
        <v>1226</v>
      </c>
      <c r="G2211" s="74" t="s">
        <v>1225</v>
      </c>
    </row>
    <row r="2212" spans="1:7" x14ac:dyDescent="0.2">
      <c r="A2212" s="39">
        <v>8974</v>
      </c>
      <c r="B2212" s="38" t="s">
        <v>1425</v>
      </c>
      <c r="C2212" s="39" t="s">
        <v>2467</v>
      </c>
      <c r="D2212" s="74" t="s">
        <v>1227</v>
      </c>
      <c r="E2212" s="74" t="s">
        <v>1224</v>
      </c>
      <c r="F2212" s="74" t="s">
        <v>1226</v>
      </c>
      <c r="G2212" s="74" t="s">
        <v>1225</v>
      </c>
    </row>
    <row r="2213" spans="1:7" x14ac:dyDescent="0.2">
      <c r="A2213" s="39">
        <v>8982</v>
      </c>
      <c r="B2213" s="38" t="s">
        <v>1426</v>
      </c>
      <c r="C2213" s="39" t="s">
        <v>2467</v>
      </c>
      <c r="D2213" s="74" t="s">
        <v>1227</v>
      </c>
      <c r="E2213" s="74" t="s">
        <v>1224</v>
      </c>
      <c r="F2213" s="74" t="s">
        <v>1226</v>
      </c>
      <c r="G2213" s="74" t="s">
        <v>1225</v>
      </c>
    </row>
    <row r="2214" spans="1:7" x14ac:dyDescent="0.2">
      <c r="A2214" s="39">
        <v>8983</v>
      </c>
      <c r="B2214" s="38" t="s">
        <v>1427</v>
      </c>
      <c r="C2214" s="39" t="s">
        <v>2467</v>
      </c>
      <c r="D2214" s="74" t="s">
        <v>1227</v>
      </c>
      <c r="E2214" s="74" t="s">
        <v>1224</v>
      </c>
      <c r="F2214" s="74" t="s">
        <v>1226</v>
      </c>
      <c r="G2214" s="74" t="s">
        <v>1226</v>
      </c>
    </row>
    <row r="2215" spans="1:7" x14ac:dyDescent="0.2">
      <c r="A2215" s="39">
        <v>8984</v>
      </c>
      <c r="B2215" s="38" t="s">
        <v>1428</v>
      </c>
      <c r="C2215" s="39" t="s">
        <v>2467</v>
      </c>
      <c r="D2215" s="74" t="s">
        <v>1227</v>
      </c>
      <c r="E2215" s="74" t="s">
        <v>1224</v>
      </c>
      <c r="F2215" s="74" t="s">
        <v>1226</v>
      </c>
      <c r="G2215" s="74" t="s">
        <v>1225</v>
      </c>
    </row>
    <row r="2216" spans="1:7" x14ac:dyDescent="0.2">
      <c r="A2216" s="39">
        <v>8990</v>
      </c>
      <c r="B2216" s="38" t="s">
        <v>1429</v>
      </c>
      <c r="C2216" s="39" t="s">
        <v>2467</v>
      </c>
      <c r="D2216" s="74" t="s">
        <v>1227</v>
      </c>
      <c r="E2216" s="74" t="s">
        <v>1224</v>
      </c>
      <c r="F2216" s="74" t="s">
        <v>1226</v>
      </c>
      <c r="G2216" s="74" t="s">
        <v>1226</v>
      </c>
    </row>
    <row r="2217" spans="1:7" x14ac:dyDescent="0.2">
      <c r="A2217" s="39">
        <v>8992</v>
      </c>
      <c r="B2217" s="38" t="s">
        <v>1430</v>
      </c>
      <c r="C2217" s="39" t="s">
        <v>2467</v>
      </c>
      <c r="D2217" s="74" t="s">
        <v>1227</v>
      </c>
      <c r="E2217" s="74" t="s">
        <v>1224</v>
      </c>
      <c r="F2217" s="74" t="s">
        <v>1226</v>
      </c>
      <c r="G2217" s="74" t="s">
        <v>1226</v>
      </c>
    </row>
    <row r="2218" spans="1:7" x14ac:dyDescent="0.2">
      <c r="A2218" s="39">
        <v>8993</v>
      </c>
      <c r="B2218" s="38" t="s">
        <v>1431</v>
      </c>
      <c r="C2218" s="39" t="s">
        <v>2467</v>
      </c>
      <c r="D2218" s="74" t="s">
        <v>1227</v>
      </c>
      <c r="E2218" s="74" t="s">
        <v>1224</v>
      </c>
      <c r="F2218" s="74" t="s">
        <v>1226</v>
      </c>
      <c r="G2218" s="74" t="s">
        <v>1225</v>
      </c>
    </row>
    <row r="2219" spans="1:7" x14ac:dyDescent="0.2">
      <c r="A2219" s="39">
        <v>9010</v>
      </c>
      <c r="B2219" s="38" t="s">
        <v>1432</v>
      </c>
      <c r="C2219" s="39" t="s">
        <v>1433</v>
      </c>
      <c r="D2219" s="74" t="s">
        <v>1229</v>
      </c>
      <c r="E2219" s="74" t="s">
        <v>1224</v>
      </c>
      <c r="F2219" s="74" t="s">
        <v>1225</v>
      </c>
      <c r="G2219" s="74" t="s">
        <v>1226</v>
      </c>
    </row>
    <row r="2220" spans="1:7" x14ac:dyDescent="0.2">
      <c r="A2220" s="39">
        <v>9013</v>
      </c>
      <c r="B2220" s="38" t="s">
        <v>1432</v>
      </c>
      <c r="C2220" s="39" t="s">
        <v>1433</v>
      </c>
      <c r="D2220" s="74" t="s">
        <v>1229</v>
      </c>
      <c r="E2220" s="74" t="s">
        <v>1224</v>
      </c>
      <c r="F2220" s="74" t="s">
        <v>1225</v>
      </c>
      <c r="G2220" s="74" t="s">
        <v>1226</v>
      </c>
    </row>
    <row r="2221" spans="1:7" x14ac:dyDescent="0.2">
      <c r="A2221" s="39">
        <v>9020</v>
      </c>
      <c r="B2221" s="38" t="s">
        <v>1432</v>
      </c>
      <c r="C2221" s="39" t="s">
        <v>1433</v>
      </c>
      <c r="D2221" s="74" t="s">
        <v>1227</v>
      </c>
      <c r="E2221" s="74" t="s">
        <v>1224</v>
      </c>
      <c r="F2221" s="74" t="s">
        <v>1226</v>
      </c>
      <c r="G2221" s="74" t="s">
        <v>1226</v>
      </c>
    </row>
    <row r="2222" spans="1:7" x14ac:dyDescent="0.2">
      <c r="A2222" s="39">
        <v>9021</v>
      </c>
      <c r="B2222" s="38" t="s">
        <v>1434</v>
      </c>
      <c r="C2222" s="39" t="s">
        <v>1433</v>
      </c>
      <c r="D2222" s="74" t="s">
        <v>1229</v>
      </c>
      <c r="E2222" s="74" t="s">
        <v>1224</v>
      </c>
      <c r="F2222" s="74" t="s">
        <v>1225</v>
      </c>
      <c r="G2222" s="74" t="s">
        <v>1226</v>
      </c>
    </row>
    <row r="2223" spans="1:7" x14ac:dyDescent="0.2">
      <c r="A2223" s="39">
        <v>9022</v>
      </c>
      <c r="B2223" s="38" t="s">
        <v>1432</v>
      </c>
      <c r="C2223" s="39" t="s">
        <v>1433</v>
      </c>
      <c r="D2223" s="74" t="s">
        <v>1229</v>
      </c>
      <c r="E2223" s="74" t="s">
        <v>1224</v>
      </c>
      <c r="F2223" s="74" t="s">
        <v>1225</v>
      </c>
      <c r="G2223" s="74" t="s">
        <v>1226</v>
      </c>
    </row>
    <row r="2224" spans="1:7" x14ac:dyDescent="0.2">
      <c r="A2224" s="39">
        <v>9023</v>
      </c>
      <c r="B2224" s="38" t="s">
        <v>1432</v>
      </c>
      <c r="C2224" s="39" t="s">
        <v>1433</v>
      </c>
      <c r="D2224" s="74" t="s">
        <v>1229</v>
      </c>
      <c r="E2224" s="74" t="s">
        <v>1224</v>
      </c>
      <c r="F2224" s="74" t="s">
        <v>1225</v>
      </c>
      <c r="G2224" s="74" t="s">
        <v>1226</v>
      </c>
    </row>
    <row r="2225" spans="1:7" x14ac:dyDescent="0.2">
      <c r="A2225" s="39">
        <v>9024</v>
      </c>
      <c r="B2225" s="38" t="s">
        <v>1432</v>
      </c>
      <c r="C2225" s="39" t="s">
        <v>1433</v>
      </c>
      <c r="D2225" s="74" t="s">
        <v>1229</v>
      </c>
      <c r="E2225" s="74" t="s">
        <v>1224</v>
      </c>
      <c r="F2225" s="74" t="s">
        <v>1225</v>
      </c>
      <c r="G2225" s="74" t="s">
        <v>1226</v>
      </c>
    </row>
    <row r="2226" spans="1:7" x14ac:dyDescent="0.2">
      <c r="A2226" s="39">
        <v>9025</v>
      </c>
      <c r="B2226" s="38" t="s">
        <v>1432</v>
      </c>
      <c r="C2226" s="39" t="s">
        <v>1433</v>
      </c>
      <c r="D2226" s="74" t="s">
        <v>1229</v>
      </c>
      <c r="E2226" s="74" t="s">
        <v>1224</v>
      </c>
      <c r="F2226" s="74" t="s">
        <v>1225</v>
      </c>
      <c r="G2226" s="74" t="s">
        <v>1226</v>
      </c>
    </row>
    <row r="2227" spans="1:7" x14ac:dyDescent="0.2">
      <c r="A2227" s="39">
        <v>9026</v>
      </c>
      <c r="B2227" s="38" t="s">
        <v>1432</v>
      </c>
      <c r="C2227" s="39" t="s">
        <v>1433</v>
      </c>
      <c r="D2227" s="74" t="s">
        <v>1229</v>
      </c>
      <c r="E2227" s="74" t="s">
        <v>1224</v>
      </c>
      <c r="F2227" s="74" t="s">
        <v>1225</v>
      </c>
      <c r="G2227" s="74" t="s">
        <v>1226</v>
      </c>
    </row>
    <row r="2228" spans="1:7" x14ac:dyDescent="0.2">
      <c r="A2228" s="39">
        <v>9027</v>
      </c>
      <c r="B2228" s="38" t="s">
        <v>1432</v>
      </c>
      <c r="C2228" s="39" t="s">
        <v>1433</v>
      </c>
      <c r="D2228" s="74" t="s">
        <v>1229</v>
      </c>
      <c r="E2228" s="74" t="s">
        <v>1224</v>
      </c>
      <c r="F2228" s="74" t="s">
        <v>1225</v>
      </c>
      <c r="G2228" s="74" t="s">
        <v>1226</v>
      </c>
    </row>
    <row r="2229" spans="1:7" x14ac:dyDescent="0.2">
      <c r="A2229" s="39">
        <v>9028</v>
      </c>
      <c r="B2229" s="38" t="s">
        <v>1432</v>
      </c>
      <c r="C2229" s="39" t="s">
        <v>1433</v>
      </c>
      <c r="D2229" s="74" t="s">
        <v>1229</v>
      </c>
      <c r="E2229" s="74" t="s">
        <v>1224</v>
      </c>
      <c r="F2229" s="74" t="s">
        <v>1225</v>
      </c>
      <c r="G2229" s="74" t="s">
        <v>1226</v>
      </c>
    </row>
    <row r="2230" spans="1:7" x14ac:dyDescent="0.2">
      <c r="A2230" s="39">
        <v>9029</v>
      </c>
      <c r="B2230" s="38" t="s">
        <v>1432</v>
      </c>
      <c r="C2230" s="39" t="s">
        <v>1433</v>
      </c>
      <c r="D2230" s="74" t="s">
        <v>1229</v>
      </c>
      <c r="E2230" s="74" t="s">
        <v>1224</v>
      </c>
      <c r="F2230" s="74" t="s">
        <v>1225</v>
      </c>
      <c r="G2230" s="74" t="s">
        <v>1226</v>
      </c>
    </row>
    <row r="2231" spans="1:7" x14ac:dyDescent="0.2">
      <c r="A2231" s="39">
        <v>9061</v>
      </c>
      <c r="B2231" s="38" t="s">
        <v>1435</v>
      </c>
      <c r="C2231" s="39" t="s">
        <v>1433</v>
      </c>
      <c r="D2231" s="74" t="s">
        <v>1227</v>
      </c>
      <c r="E2231" s="74" t="s">
        <v>1224</v>
      </c>
      <c r="F2231" s="74" t="s">
        <v>1226</v>
      </c>
      <c r="G2231" s="74" t="s">
        <v>1226</v>
      </c>
    </row>
    <row r="2232" spans="1:7" x14ac:dyDescent="0.2">
      <c r="A2232" s="39">
        <v>9062</v>
      </c>
      <c r="B2232" s="38" t="s">
        <v>1436</v>
      </c>
      <c r="C2232" s="39" t="s">
        <v>1433</v>
      </c>
      <c r="D2232" s="74" t="s">
        <v>1227</v>
      </c>
      <c r="E2232" s="74" t="s">
        <v>1224</v>
      </c>
      <c r="F2232" s="74" t="s">
        <v>1226</v>
      </c>
      <c r="G2232" s="74" t="s">
        <v>1226</v>
      </c>
    </row>
    <row r="2233" spans="1:7" x14ac:dyDescent="0.2">
      <c r="A2233" s="39">
        <v>9063</v>
      </c>
      <c r="B2233" s="38" t="s">
        <v>1437</v>
      </c>
      <c r="C2233" s="39" t="s">
        <v>1433</v>
      </c>
      <c r="D2233" s="74" t="s">
        <v>1227</v>
      </c>
      <c r="E2233" s="74" t="s">
        <v>1224</v>
      </c>
      <c r="F2233" s="74" t="s">
        <v>1226</v>
      </c>
      <c r="G2233" s="74" t="s">
        <v>1226</v>
      </c>
    </row>
    <row r="2234" spans="1:7" x14ac:dyDescent="0.2">
      <c r="A2234" s="39">
        <v>9064</v>
      </c>
      <c r="B2234" s="38" t="s">
        <v>1438</v>
      </c>
      <c r="C2234" s="39" t="s">
        <v>1433</v>
      </c>
      <c r="D2234" s="74" t="s">
        <v>1227</v>
      </c>
      <c r="E2234" s="74" t="s">
        <v>1224</v>
      </c>
      <c r="F2234" s="74" t="s">
        <v>1226</v>
      </c>
      <c r="G2234" s="74" t="s">
        <v>1226</v>
      </c>
    </row>
    <row r="2235" spans="1:7" x14ac:dyDescent="0.2">
      <c r="A2235" s="39">
        <v>9065</v>
      </c>
      <c r="B2235" s="38" t="s">
        <v>1344</v>
      </c>
      <c r="C2235" s="39" t="s">
        <v>1433</v>
      </c>
      <c r="D2235" s="74" t="s">
        <v>1227</v>
      </c>
      <c r="E2235" s="74" t="s">
        <v>1224</v>
      </c>
      <c r="F2235" s="74" t="s">
        <v>1226</v>
      </c>
      <c r="G2235" s="74" t="s">
        <v>1226</v>
      </c>
    </row>
    <row r="2236" spans="1:7" x14ac:dyDescent="0.2">
      <c r="A2236" s="39">
        <v>9071</v>
      </c>
      <c r="B2236" s="38" t="s">
        <v>1439</v>
      </c>
      <c r="C2236" s="39" t="s">
        <v>1433</v>
      </c>
      <c r="D2236" s="74" t="s">
        <v>1227</v>
      </c>
      <c r="E2236" s="74" t="s">
        <v>1224</v>
      </c>
      <c r="F2236" s="74" t="s">
        <v>1226</v>
      </c>
      <c r="G2236" s="74" t="s">
        <v>1226</v>
      </c>
    </row>
    <row r="2237" spans="1:7" x14ac:dyDescent="0.2">
      <c r="A2237" s="39">
        <v>9072</v>
      </c>
      <c r="B2237" s="38" t="s">
        <v>1440</v>
      </c>
      <c r="C2237" s="39" t="s">
        <v>1433</v>
      </c>
      <c r="D2237" s="74" t="s">
        <v>1227</v>
      </c>
      <c r="E2237" s="74" t="s">
        <v>1224</v>
      </c>
      <c r="F2237" s="74" t="s">
        <v>1226</v>
      </c>
      <c r="G2237" s="74" t="s">
        <v>1225</v>
      </c>
    </row>
    <row r="2238" spans="1:7" x14ac:dyDescent="0.2">
      <c r="A2238" s="39">
        <v>9073</v>
      </c>
      <c r="B2238" s="38" t="s">
        <v>1441</v>
      </c>
      <c r="C2238" s="39" t="s">
        <v>1433</v>
      </c>
      <c r="D2238" s="74" t="s">
        <v>1227</v>
      </c>
      <c r="E2238" s="74" t="s">
        <v>1224</v>
      </c>
      <c r="F2238" s="74" t="s">
        <v>1226</v>
      </c>
      <c r="G2238" s="74" t="s">
        <v>1226</v>
      </c>
    </row>
    <row r="2239" spans="1:7" x14ac:dyDescent="0.2">
      <c r="A2239" s="39">
        <v>9074</v>
      </c>
      <c r="B2239" s="38" t="s">
        <v>1442</v>
      </c>
      <c r="C2239" s="39" t="s">
        <v>1433</v>
      </c>
      <c r="D2239" s="74" t="s">
        <v>1227</v>
      </c>
      <c r="E2239" s="74" t="s">
        <v>1224</v>
      </c>
      <c r="F2239" s="74" t="s">
        <v>1226</v>
      </c>
      <c r="G2239" s="74" t="s">
        <v>1226</v>
      </c>
    </row>
    <row r="2240" spans="1:7" x14ac:dyDescent="0.2">
      <c r="A2240" s="39">
        <v>9081</v>
      </c>
      <c r="B2240" s="38" t="s">
        <v>1443</v>
      </c>
      <c r="C2240" s="39" t="s">
        <v>1433</v>
      </c>
      <c r="D2240" s="74" t="s">
        <v>1227</v>
      </c>
      <c r="E2240" s="74" t="s">
        <v>1224</v>
      </c>
      <c r="F2240" s="74" t="s">
        <v>1226</v>
      </c>
      <c r="G2240" s="74" t="s">
        <v>1226</v>
      </c>
    </row>
    <row r="2241" spans="1:7" x14ac:dyDescent="0.2">
      <c r="A2241" s="39">
        <v>9082</v>
      </c>
      <c r="B2241" s="38" t="s">
        <v>1444</v>
      </c>
      <c r="C2241" s="39" t="s">
        <v>1433</v>
      </c>
      <c r="D2241" s="74" t="s">
        <v>1227</v>
      </c>
      <c r="E2241" s="74" t="s">
        <v>1224</v>
      </c>
      <c r="F2241" s="74" t="s">
        <v>1226</v>
      </c>
      <c r="G2241" s="74" t="s">
        <v>1225</v>
      </c>
    </row>
    <row r="2242" spans="1:7" x14ac:dyDescent="0.2">
      <c r="A2242" s="39">
        <v>9100</v>
      </c>
      <c r="B2242" s="38" t="s">
        <v>1445</v>
      </c>
      <c r="C2242" s="39" t="s">
        <v>1433</v>
      </c>
      <c r="D2242" s="74" t="s">
        <v>1227</v>
      </c>
      <c r="E2242" s="74" t="s">
        <v>1224</v>
      </c>
      <c r="F2242" s="74" t="s">
        <v>1226</v>
      </c>
      <c r="G2242" s="74" t="s">
        <v>1226</v>
      </c>
    </row>
    <row r="2243" spans="1:7" x14ac:dyDescent="0.2">
      <c r="A2243" s="39">
        <v>9102</v>
      </c>
      <c r="B2243" s="38" t="s">
        <v>1446</v>
      </c>
      <c r="C2243" s="39" t="s">
        <v>1433</v>
      </c>
      <c r="D2243" s="74" t="s">
        <v>1227</v>
      </c>
      <c r="E2243" s="74" t="s">
        <v>1224</v>
      </c>
      <c r="F2243" s="74" t="s">
        <v>1226</v>
      </c>
      <c r="G2243" s="74" t="s">
        <v>1225</v>
      </c>
    </row>
    <row r="2244" spans="1:7" x14ac:dyDescent="0.2">
      <c r="A2244" s="39">
        <v>9103</v>
      </c>
      <c r="B2244" s="38" t="s">
        <v>1447</v>
      </c>
      <c r="C2244" s="39" t="s">
        <v>1433</v>
      </c>
      <c r="D2244" s="74" t="s">
        <v>1227</v>
      </c>
      <c r="E2244" s="74" t="s">
        <v>1224</v>
      </c>
      <c r="F2244" s="74" t="s">
        <v>1226</v>
      </c>
      <c r="G2244" s="74" t="s">
        <v>1226</v>
      </c>
    </row>
    <row r="2245" spans="1:7" x14ac:dyDescent="0.2">
      <c r="A2245" s="39">
        <v>9104</v>
      </c>
      <c r="B2245" s="38" t="s">
        <v>1448</v>
      </c>
      <c r="C2245" s="39" t="s">
        <v>1433</v>
      </c>
      <c r="D2245" s="74" t="s">
        <v>1227</v>
      </c>
      <c r="E2245" s="74" t="s">
        <v>1224</v>
      </c>
      <c r="F2245" s="74" t="s">
        <v>1226</v>
      </c>
      <c r="G2245" s="74" t="s">
        <v>1225</v>
      </c>
    </row>
    <row r="2246" spans="1:7" x14ac:dyDescent="0.2">
      <c r="A2246" s="39">
        <v>9111</v>
      </c>
      <c r="B2246" s="38" t="s">
        <v>1449</v>
      </c>
      <c r="C2246" s="39" t="s">
        <v>1433</v>
      </c>
      <c r="D2246" s="74" t="s">
        <v>1227</v>
      </c>
      <c r="E2246" s="74" t="s">
        <v>1224</v>
      </c>
      <c r="F2246" s="74" t="s">
        <v>1226</v>
      </c>
      <c r="G2246" s="74" t="s">
        <v>1225</v>
      </c>
    </row>
    <row r="2247" spans="1:7" x14ac:dyDescent="0.2">
      <c r="A2247" s="39">
        <v>9112</v>
      </c>
      <c r="B2247" s="38" t="s">
        <v>1450</v>
      </c>
      <c r="C2247" s="39" t="s">
        <v>1433</v>
      </c>
      <c r="D2247" s="74" t="s">
        <v>1227</v>
      </c>
      <c r="E2247" s="74" t="s">
        <v>1224</v>
      </c>
      <c r="F2247" s="74" t="s">
        <v>1226</v>
      </c>
      <c r="G2247" s="74" t="s">
        <v>1226</v>
      </c>
    </row>
    <row r="2248" spans="1:7" x14ac:dyDescent="0.2">
      <c r="A2248" s="39">
        <v>9113</v>
      </c>
      <c r="B2248" s="38" t="s">
        <v>1451</v>
      </c>
      <c r="C2248" s="39" t="s">
        <v>1433</v>
      </c>
      <c r="D2248" s="74" t="s">
        <v>1227</v>
      </c>
      <c r="E2248" s="74" t="s">
        <v>1224</v>
      </c>
      <c r="F2248" s="74" t="s">
        <v>1226</v>
      </c>
      <c r="G2248" s="74" t="s">
        <v>1226</v>
      </c>
    </row>
    <row r="2249" spans="1:7" x14ac:dyDescent="0.2">
      <c r="A2249" s="39">
        <v>9121</v>
      </c>
      <c r="B2249" s="38" t="s">
        <v>1452</v>
      </c>
      <c r="C2249" s="39" t="s">
        <v>1433</v>
      </c>
      <c r="D2249" s="74" t="s">
        <v>1227</v>
      </c>
      <c r="E2249" s="74" t="s">
        <v>1224</v>
      </c>
      <c r="F2249" s="74" t="s">
        <v>1226</v>
      </c>
      <c r="G2249" s="74" t="s">
        <v>1226</v>
      </c>
    </row>
    <row r="2250" spans="1:7" x14ac:dyDescent="0.2">
      <c r="A2250" s="39">
        <v>9122</v>
      </c>
      <c r="B2250" s="38" t="s">
        <v>1453</v>
      </c>
      <c r="C2250" s="39" t="s">
        <v>1433</v>
      </c>
      <c r="D2250" s="74" t="s">
        <v>1227</v>
      </c>
      <c r="E2250" s="74" t="s">
        <v>1224</v>
      </c>
      <c r="F2250" s="74" t="s">
        <v>1226</v>
      </c>
      <c r="G2250" s="74" t="s">
        <v>1226</v>
      </c>
    </row>
    <row r="2251" spans="1:7" x14ac:dyDescent="0.2">
      <c r="A2251" s="39">
        <v>9123</v>
      </c>
      <c r="B2251" s="38" t="s">
        <v>1454</v>
      </c>
      <c r="C2251" s="39" t="s">
        <v>1433</v>
      </c>
      <c r="D2251" s="74" t="s">
        <v>1227</v>
      </c>
      <c r="E2251" s="74" t="s">
        <v>1224</v>
      </c>
      <c r="F2251" s="74" t="s">
        <v>1226</v>
      </c>
      <c r="G2251" s="74" t="s">
        <v>1225</v>
      </c>
    </row>
    <row r="2252" spans="1:7" x14ac:dyDescent="0.2">
      <c r="A2252" s="39">
        <v>9125</v>
      </c>
      <c r="B2252" s="38" t="s">
        <v>1455</v>
      </c>
      <c r="C2252" s="39" t="s">
        <v>1433</v>
      </c>
      <c r="D2252" s="74" t="s">
        <v>1227</v>
      </c>
      <c r="E2252" s="74" t="s">
        <v>1224</v>
      </c>
      <c r="F2252" s="74" t="s">
        <v>1226</v>
      </c>
      <c r="G2252" s="74" t="s">
        <v>1226</v>
      </c>
    </row>
    <row r="2253" spans="1:7" x14ac:dyDescent="0.2">
      <c r="A2253" s="39">
        <v>9130</v>
      </c>
      <c r="B2253" s="38" t="s">
        <v>1456</v>
      </c>
      <c r="C2253" s="39" t="s">
        <v>1433</v>
      </c>
      <c r="D2253" s="74" t="s">
        <v>1227</v>
      </c>
      <c r="E2253" s="74" t="s">
        <v>1224</v>
      </c>
      <c r="F2253" s="74" t="s">
        <v>1226</v>
      </c>
      <c r="G2253" s="74" t="s">
        <v>1225</v>
      </c>
    </row>
    <row r="2254" spans="1:7" x14ac:dyDescent="0.2">
      <c r="A2254" s="39">
        <v>9131</v>
      </c>
      <c r="B2254" s="38" t="s">
        <v>1457</v>
      </c>
      <c r="C2254" s="39" t="s">
        <v>1433</v>
      </c>
      <c r="D2254" s="74" t="s">
        <v>1227</v>
      </c>
      <c r="E2254" s="74" t="s">
        <v>1224</v>
      </c>
      <c r="F2254" s="74" t="s">
        <v>1226</v>
      </c>
      <c r="G2254" s="74" t="s">
        <v>1226</v>
      </c>
    </row>
    <row r="2255" spans="1:7" x14ac:dyDescent="0.2">
      <c r="A2255" s="39">
        <v>9132</v>
      </c>
      <c r="B2255" s="38" t="s">
        <v>1458</v>
      </c>
      <c r="C2255" s="39" t="s">
        <v>1433</v>
      </c>
      <c r="D2255" s="74" t="s">
        <v>1227</v>
      </c>
      <c r="E2255" s="74" t="s">
        <v>1224</v>
      </c>
      <c r="F2255" s="74" t="s">
        <v>1226</v>
      </c>
      <c r="G2255" s="74" t="s">
        <v>1225</v>
      </c>
    </row>
    <row r="2256" spans="1:7" x14ac:dyDescent="0.2">
      <c r="A2256" s="39">
        <v>9133</v>
      </c>
      <c r="B2256" s="38" t="s">
        <v>1459</v>
      </c>
      <c r="C2256" s="39" t="s">
        <v>1433</v>
      </c>
      <c r="D2256" s="74" t="s">
        <v>1227</v>
      </c>
      <c r="E2256" s="74" t="s">
        <v>1224</v>
      </c>
      <c r="F2256" s="74" t="s">
        <v>1226</v>
      </c>
      <c r="G2256" s="74" t="s">
        <v>1225</v>
      </c>
    </row>
    <row r="2257" spans="1:7" x14ac:dyDescent="0.2">
      <c r="A2257" s="39">
        <v>9135</v>
      </c>
      <c r="B2257" s="38" t="s">
        <v>1460</v>
      </c>
      <c r="C2257" s="39" t="s">
        <v>1433</v>
      </c>
      <c r="D2257" s="74" t="s">
        <v>1227</v>
      </c>
      <c r="E2257" s="74" t="s">
        <v>1224</v>
      </c>
      <c r="F2257" s="74" t="s">
        <v>1226</v>
      </c>
      <c r="G2257" s="74" t="s">
        <v>1226</v>
      </c>
    </row>
    <row r="2258" spans="1:7" x14ac:dyDescent="0.2">
      <c r="A2258" s="39">
        <v>9141</v>
      </c>
      <c r="B2258" s="38" t="s">
        <v>1461</v>
      </c>
      <c r="C2258" s="39" t="s">
        <v>1433</v>
      </c>
      <c r="D2258" s="74" t="s">
        <v>1227</v>
      </c>
      <c r="E2258" s="74" t="s">
        <v>1224</v>
      </c>
      <c r="F2258" s="74" t="s">
        <v>1226</v>
      </c>
      <c r="G2258" s="74" t="s">
        <v>1226</v>
      </c>
    </row>
    <row r="2259" spans="1:7" x14ac:dyDescent="0.2">
      <c r="A2259" s="39">
        <v>9142</v>
      </c>
      <c r="B2259" s="38" t="s">
        <v>1462</v>
      </c>
      <c r="C2259" s="39" t="s">
        <v>1433</v>
      </c>
      <c r="D2259" s="74" t="s">
        <v>1227</v>
      </c>
      <c r="E2259" s="74" t="s">
        <v>1224</v>
      </c>
      <c r="F2259" s="74" t="s">
        <v>1226</v>
      </c>
      <c r="G2259" s="74" t="s">
        <v>1226</v>
      </c>
    </row>
    <row r="2260" spans="1:7" x14ac:dyDescent="0.2">
      <c r="A2260" s="39">
        <v>9143</v>
      </c>
      <c r="B2260" s="38" t="s">
        <v>1463</v>
      </c>
      <c r="C2260" s="39" t="s">
        <v>1433</v>
      </c>
      <c r="D2260" s="74" t="s">
        <v>1227</v>
      </c>
      <c r="E2260" s="74" t="s">
        <v>1224</v>
      </c>
      <c r="F2260" s="74" t="s">
        <v>1226</v>
      </c>
      <c r="G2260" s="74" t="s">
        <v>1225</v>
      </c>
    </row>
    <row r="2261" spans="1:7" x14ac:dyDescent="0.2">
      <c r="A2261" s="39">
        <v>9150</v>
      </c>
      <c r="B2261" s="38" t="s">
        <v>1464</v>
      </c>
      <c r="C2261" s="39" t="s">
        <v>1433</v>
      </c>
      <c r="D2261" s="74" t="s">
        <v>1227</v>
      </c>
      <c r="E2261" s="74" t="s">
        <v>1224</v>
      </c>
      <c r="F2261" s="74" t="s">
        <v>1226</v>
      </c>
      <c r="G2261" s="74" t="s">
        <v>1226</v>
      </c>
    </row>
    <row r="2262" spans="1:7" x14ac:dyDescent="0.2">
      <c r="A2262" s="39">
        <v>9155</v>
      </c>
      <c r="B2262" s="38" t="s">
        <v>1812</v>
      </c>
      <c r="C2262" s="39" t="s">
        <v>1433</v>
      </c>
      <c r="D2262" s="74" t="s">
        <v>1227</v>
      </c>
      <c r="E2262" s="74" t="s">
        <v>1224</v>
      </c>
      <c r="F2262" s="74" t="s">
        <v>1226</v>
      </c>
      <c r="G2262" s="74" t="s">
        <v>1225</v>
      </c>
    </row>
    <row r="2263" spans="1:7" x14ac:dyDescent="0.2">
      <c r="A2263" s="39">
        <v>9161</v>
      </c>
      <c r="B2263" s="38" t="s">
        <v>1465</v>
      </c>
      <c r="C2263" s="39" t="s">
        <v>1433</v>
      </c>
      <c r="D2263" s="74" t="s">
        <v>1227</v>
      </c>
      <c r="E2263" s="74" t="s">
        <v>1224</v>
      </c>
      <c r="F2263" s="74" t="s">
        <v>1226</v>
      </c>
      <c r="G2263" s="74" t="s">
        <v>1226</v>
      </c>
    </row>
    <row r="2264" spans="1:7" x14ac:dyDescent="0.2">
      <c r="A2264" s="39">
        <v>9162</v>
      </c>
      <c r="B2264" s="38" t="s">
        <v>1466</v>
      </c>
      <c r="C2264" s="39" t="s">
        <v>1433</v>
      </c>
      <c r="D2264" s="74" t="s">
        <v>1227</v>
      </c>
      <c r="E2264" s="74" t="s">
        <v>1224</v>
      </c>
      <c r="F2264" s="74" t="s">
        <v>1226</v>
      </c>
      <c r="G2264" s="74" t="s">
        <v>1226</v>
      </c>
    </row>
    <row r="2265" spans="1:7" x14ac:dyDescent="0.2">
      <c r="A2265" s="39">
        <v>9163</v>
      </c>
      <c r="B2265" s="38" t="s">
        <v>1467</v>
      </c>
      <c r="C2265" s="39" t="s">
        <v>1433</v>
      </c>
      <c r="D2265" s="74" t="s">
        <v>1227</v>
      </c>
      <c r="E2265" s="74" t="s">
        <v>1224</v>
      </c>
      <c r="F2265" s="74" t="s">
        <v>1226</v>
      </c>
      <c r="G2265" s="74" t="s">
        <v>1225</v>
      </c>
    </row>
    <row r="2266" spans="1:7" x14ac:dyDescent="0.2">
      <c r="A2266" s="39">
        <v>9170</v>
      </c>
      <c r="B2266" s="38" t="s">
        <v>144</v>
      </c>
      <c r="C2266" s="39" t="s">
        <v>1433</v>
      </c>
      <c r="D2266" s="74" t="s">
        <v>1227</v>
      </c>
      <c r="E2266" s="74" t="s">
        <v>1224</v>
      </c>
      <c r="F2266" s="74" t="s">
        <v>1226</v>
      </c>
      <c r="G2266" s="74" t="s">
        <v>1226</v>
      </c>
    </row>
    <row r="2267" spans="1:7" x14ac:dyDescent="0.2">
      <c r="A2267" s="39">
        <v>9173</v>
      </c>
      <c r="B2267" s="38" t="s">
        <v>1468</v>
      </c>
      <c r="C2267" s="39" t="s">
        <v>1433</v>
      </c>
      <c r="D2267" s="74" t="s">
        <v>1227</v>
      </c>
      <c r="E2267" s="74" t="s">
        <v>1224</v>
      </c>
      <c r="F2267" s="74" t="s">
        <v>1226</v>
      </c>
      <c r="G2267" s="74" t="s">
        <v>1225</v>
      </c>
    </row>
    <row r="2268" spans="1:7" x14ac:dyDescent="0.2">
      <c r="A2268" s="39">
        <v>9181</v>
      </c>
      <c r="B2268" s="38" t="s">
        <v>1469</v>
      </c>
      <c r="C2268" s="39" t="s">
        <v>1433</v>
      </c>
      <c r="D2268" s="74" t="s">
        <v>1227</v>
      </c>
      <c r="E2268" s="74" t="s">
        <v>1224</v>
      </c>
      <c r="F2268" s="74" t="s">
        <v>1226</v>
      </c>
      <c r="G2268" s="74" t="s">
        <v>1226</v>
      </c>
    </row>
    <row r="2269" spans="1:7" x14ac:dyDescent="0.2">
      <c r="A2269" s="39">
        <v>9182</v>
      </c>
      <c r="B2269" s="38" t="s">
        <v>1470</v>
      </c>
      <c r="C2269" s="39" t="s">
        <v>1433</v>
      </c>
      <c r="D2269" s="74" t="s">
        <v>1227</v>
      </c>
      <c r="E2269" s="74" t="s">
        <v>1224</v>
      </c>
      <c r="F2269" s="74" t="s">
        <v>1226</v>
      </c>
      <c r="G2269" s="74" t="s">
        <v>1225</v>
      </c>
    </row>
    <row r="2270" spans="1:7" x14ac:dyDescent="0.2">
      <c r="A2270" s="39">
        <v>9183</v>
      </c>
      <c r="B2270" s="38" t="s">
        <v>1471</v>
      </c>
      <c r="C2270" s="39" t="s">
        <v>1433</v>
      </c>
      <c r="D2270" s="74" t="s">
        <v>1227</v>
      </c>
      <c r="E2270" s="74" t="s">
        <v>1224</v>
      </c>
      <c r="F2270" s="74" t="s">
        <v>1226</v>
      </c>
      <c r="G2270" s="74" t="s">
        <v>1225</v>
      </c>
    </row>
    <row r="2271" spans="1:7" x14ac:dyDescent="0.2">
      <c r="A2271" s="39">
        <v>9184</v>
      </c>
      <c r="B2271" s="38" t="s">
        <v>1472</v>
      </c>
      <c r="C2271" s="39" t="s">
        <v>1433</v>
      </c>
      <c r="D2271" s="74" t="s">
        <v>1227</v>
      </c>
      <c r="E2271" s="74" t="s">
        <v>1224</v>
      </c>
      <c r="F2271" s="74" t="s">
        <v>1226</v>
      </c>
      <c r="G2271" s="74" t="s">
        <v>1226</v>
      </c>
    </row>
    <row r="2272" spans="1:7" x14ac:dyDescent="0.2">
      <c r="A2272" s="39">
        <v>9201</v>
      </c>
      <c r="B2272" s="38" t="s">
        <v>1473</v>
      </c>
      <c r="C2272" s="39" t="s">
        <v>1433</v>
      </c>
      <c r="D2272" s="74" t="s">
        <v>1227</v>
      </c>
      <c r="E2272" s="74" t="s">
        <v>1224</v>
      </c>
      <c r="F2272" s="74" t="s">
        <v>1226</v>
      </c>
      <c r="G2272" s="74" t="s">
        <v>1226</v>
      </c>
    </row>
    <row r="2273" spans="1:7" x14ac:dyDescent="0.2">
      <c r="A2273" s="39">
        <v>9210</v>
      </c>
      <c r="B2273" s="38" t="s">
        <v>1474</v>
      </c>
      <c r="C2273" s="39" t="s">
        <v>1433</v>
      </c>
      <c r="D2273" s="74" t="s">
        <v>1227</v>
      </c>
      <c r="E2273" s="74" t="s">
        <v>1224</v>
      </c>
      <c r="F2273" s="74" t="s">
        <v>1226</v>
      </c>
      <c r="G2273" s="74" t="s">
        <v>1226</v>
      </c>
    </row>
    <row r="2274" spans="1:7" x14ac:dyDescent="0.2">
      <c r="A2274" s="39">
        <v>9212</v>
      </c>
      <c r="B2274" s="38" t="s">
        <v>1475</v>
      </c>
      <c r="C2274" s="39" t="s">
        <v>1433</v>
      </c>
      <c r="D2274" s="74" t="s">
        <v>1227</v>
      </c>
      <c r="E2274" s="74" t="s">
        <v>1224</v>
      </c>
      <c r="F2274" s="74" t="s">
        <v>1226</v>
      </c>
      <c r="G2274" s="74" t="s">
        <v>1225</v>
      </c>
    </row>
    <row r="2275" spans="1:7" x14ac:dyDescent="0.2">
      <c r="A2275" s="39">
        <v>9220</v>
      </c>
      <c r="B2275" s="38" t="s">
        <v>1476</v>
      </c>
      <c r="C2275" s="39" t="s">
        <v>1433</v>
      </c>
      <c r="D2275" s="74" t="s">
        <v>1227</v>
      </c>
      <c r="E2275" s="74" t="s">
        <v>1224</v>
      </c>
      <c r="F2275" s="74" t="s">
        <v>1226</v>
      </c>
      <c r="G2275" s="74" t="s">
        <v>1226</v>
      </c>
    </row>
    <row r="2276" spans="1:7" x14ac:dyDescent="0.2">
      <c r="A2276" s="39">
        <v>9231</v>
      </c>
      <c r="B2276" s="38" t="s">
        <v>1477</v>
      </c>
      <c r="C2276" s="39" t="s">
        <v>1433</v>
      </c>
      <c r="D2276" s="74" t="s">
        <v>1227</v>
      </c>
      <c r="E2276" s="74" t="s">
        <v>1224</v>
      </c>
      <c r="F2276" s="74" t="s">
        <v>1226</v>
      </c>
      <c r="G2276" s="74" t="s">
        <v>1225</v>
      </c>
    </row>
    <row r="2277" spans="1:7" x14ac:dyDescent="0.2">
      <c r="A2277" s="39">
        <v>9232</v>
      </c>
      <c r="B2277" s="38" t="s">
        <v>1478</v>
      </c>
      <c r="C2277" s="39" t="s">
        <v>1433</v>
      </c>
      <c r="D2277" s="74" t="s">
        <v>1227</v>
      </c>
      <c r="E2277" s="74" t="s">
        <v>1224</v>
      </c>
      <c r="F2277" s="74" t="s">
        <v>1226</v>
      </c>
      <c r="G2277" s="74" t="s">
        <v>1226</v>
      </c>
    </row>
    <row r="2278" spans="1:7" x14ac:dyDescent="0.2">
      <c r="A2278" s="39">
        <v>9241</v>
      </c>
      <c r="B2278" s="38" t="s">
        <v>1157</v>
      </c>
      <c r="C2278" s="39" t="s">
        <v>1433</v>
      </c>
      <c r="D2278" s="74" t="s">
        <v>1227</v>
      </c>
      <c r="E2278" s="74" t="s">
        <v>1224</v>
      </c>
      <c r="F2278" s="74" t="s">
        <v>1226</v>
      </c>
      <c r="G2278" s="74" t="s">
        <v>1226</v>
      </c>
    </row>
    <row r="2279" spans="1:7" x14ac:dyDescent="0.2">
      <c r="A2279" s="39">
        <v>9300</v>
      </c>
      <c r="B2279" s="38" t="s">
        <v>1158</v>
      </c>
      <c r="C2279" s="39" t="s">
        <v>1433</v>
      </c>
      <c r="D2279" s="74" t="s">
        <v>1227</v>
      </c>
      <c r="E2279" s="74" t="s">
        <v>1224</v>
      </c>
      <c r="F2279" s="74" t="s">
        <v>1226</v>
      </c>
      <c r="G2279" s="74" t="s">
        <v>1226</v>
      </c>
    </row>
    <row r="2280" spans="1:7" x14ac:dyDescent="0.2">
      <c r="A2280" s="39">
        <v>9302</v>
      </c>
      <c r="B2280" s="38" t="s">
        <v>1158</v>
      </c>
      <c r="C2280" s="39" t="s">
        <v>1433</v>
      </c>
      <c r="D2280" s="74" t="s">
        <v>1229</v>
      </c>
      <c r="E2280" s="74" t="s">
        <v>1224</v>
      </c>
      <c r="F2280" s="74" t="s">
        <v>1225</v>
      </c>
      <c r="G2280" s="74" t="s">
        <v>1226</v>
      </c>
    </row>
    <row r="2281" spans="1:7" x14ac:dyDescent="0.2">
      <c r="A2281" s="39">
        <v>9311</v>
      </c>
      <c r="B2281" s="38" t="s">
        <v>1159</v>
      </c>
      <c r="C2281" s="39" t="s">
        <v>1433</v>
      </c>
      <c r="D2281" s="74" t="s">
        <v>1227</v>
      </c>
      <c r="E2281" s="74" t="s">
        <v>1224</v>
      </c>
      <c r="F2281" s="74" t="s">
        <v>1226</v>
      </c>
      <c r="G2281" s="74" t="s">
        <v>1225</v>
      </c>
    </row>
    <row r="2282" spans="1:7" x14ac:dyDescent="0.2">
      <c r="A2282" s="39">
        <v>9312</v>
      </c>
      <c r="B2282" s="38" t="s">
        <v>1160</v>
      </c>
      <c r="C2282" s="39" t="s">
        <v>1433</v>
      </c>
      <c r="D2282" s="74" t="s">
        <v>1227</v>
      </c>
      <c r="E2282" s="74" t="s">
        <v>1224</v>
      </c>
      <c r="F2282" s="74" t="s">
        <v>1226</v>
      </c>
      <c r="G2282" s="74" t="s">
        <v>1225</v>
      </c>
    </row>
    <row r="2283" spans="1:7" x14ac:dyDescent="0.2">
      <c r="A2283" s="39">
        <v>9313</v>
      </c>
      <c r="B2283" s="38" t="s">
        <v>1161</v>
      </c>
      <c r="C2283" s="39" t="s">
        <v>1433</v>
      </c>
      <c r="D2283" s="74" t="s">
        <v>1227</v>
      </c>
      <c r="E2283" s="74" t="s">
        <v>1224</v>
      </c>
      <c r="F2283" s="74" t="s">
        <v>1226</v>
      </c>
      <c r="G2283" s="74" t="s">
        <v>1225</v>
      </c>
    </row>
    <row r="2284" spans="1:7" x14ac:dyDescent="0.2">
      <c r="A2284" s="39">
        <v>9314</v>
      </c>
      <c r="B2284" s="38" t="s">
        <v>1162</v>
      </c>
      <c r="C2284" s="39" t="s">
        <v>1433</v>
      </c>
      <c r="D2284" s="74" t="s">
        <v>1227</v>
      </c>
      <c r="E2284" s="74" t="s">
        <v>1224</v>
      </c>
      <c r="F2284" s="74" t="s">
        <v>1226</v>
      </c>
      <c r="G2284" s="74" t="s">
        <v>1226</v>
      </c>
    </row>
    <row r="2285" spans="1:7" x14ac:dyDescent="0.2">
      <c r="A2285" s="39">
        <v>9321</v>
      </c>
      <c r="B2285" s="38" t="s">
        <v>1163</v>
      </c>
      <c r="C2285" s="39" t="s">
        <v>1433</v>
      </c>
      <c r="D2285" s="74" t="s">
        <v>1227</v>
      </c>
      <c r="E2285" s="74" t="s">
        <v>1224</v>
      </c>
      <c r="F2285" s="74" t="s">
        <v>1226</v>
      </c>
      <c r="G2285" s="74" t="s">
        <v>1225</v>
      </c>
    </row>
    <row r="2286" spans="1:7" x14ac:dyDescent="0.2">
      <c r="A2286" s="39">
        <v>9322</v>
      </c>
      <c r="B2286" s="38" t="s">
        <v>1711</v>
      </c>
      <c r="C2286" s="39" t="s">
        <v>1433</v>
      </c>
      <c r="D2286" s="74" t="s">
        <v>1227</v>
      </c>
      <c r="E2286" s="74" t="s">
        <v>1224</v>
      </c>
      <c r="F2286" s="74" t="s">
        <v>1226</v>
      </c>
      <c r="G2286" s="74" t="s">
        <v>1225</v>
      </c>
    </row>
    <row r="2287" spans="1:7" x14ac:dyDescent="0.2">
      <c r="A2287" s="39">
        <v>9323</v>
      </c>
      <c r="B2287" s="38" t="s">
        <v>1164</v>
      </c>
      <c r="C2287" s="39" t="s">
        <v>2467</v>
      </c>
      <c r="D2287" s="74" t="s">
        <v>1227</v>
      </c>
      <c r="E2287" s="74" t="s">
        <v>1224</v>
      </c>
      <c r="F2287" s="74" t="s">
        <v>1226</v>
      </c>
      <c r="G2287" s="74" t="s">
        <v>1225</v>
      </c>
    </row>
    <row r="2288" spans="1:7" x14ac:dyDescent="0.2">
      <c r="A2288" s="39">
        <v>9330</v>
      </c>
      <c r="B2288" s="38" t="s">
        <v>1165</v>
      </c>
      <c r="C2288" s="39" t="s">
        <v>1433</v>
      </c>
      <c r="D2288" s="74" t="s">
        <v>1227</v>
      </c>
      <c r="E2288" s="74" t="s">
        <v>1224</v>
      </c>
      <c r="F2288" s="74" t="s">
        <v>1226</v>
      </c>
      <c r="G2288" s="74" t="s">
        <v>1226</v>
      </c>
    </row>
    <row r="2289" spans="1:7" x14ac:dyDescent="0.2">
      <c r="A2289" s="39">
        <v>9334</v>
      </c>
      <c r="B2289" s="38" t="s">
        <v>1166</v>
      </c>
      <c r="C2289" s="39" t="s">
        <v>1433</v>
      </c>
      <c r="D2289" s="74" t="s">
        <v>1227</v>
      </c>
      <c r="E2289" s="74" t="s">
        <v>1224</v>
      </c>
      <c r="F2289" s="74" t="s">
        <v>1226</v>
      </c>
      <c r="G2289" s="74" t="s">
        <v>1225</v>
      </c>
    </row>
    <row r="2290" spans="1:7" x14ac:dyDescent="0.2">
      <c r="A2290" s="39">
        <v>9335</v>
      </c>
      <c r="B2290" s="38" t="s">
        <v>1167</v>
      </c>
      <c r="C2290" s="39" t="s">
        <v>1433</v>
      </c>
      <c r="D2290" s="74" t="s">
        <v>1227</v>
      </c>
      <c r="E2290" s="74" t="s">
        <v>1224</v>
      </c>
      <c r="F2290" s="74" t="s">
        <v>1226</v>
      </c>
      <c r="G2290" s="74" t="s">
        <v>1225</v>
      </c>
    </row>
    <row r="2291" spans="1:7" x14ac:dyDescent="0.2">
      <c r="A2291" s="39">
        <v>9341</v>
      </c>
      <c r="B2291" s="38" t="s">
        <v>1168</v>
      </c>
      <c r="C2291" s="39" t="s">
        <v>1433</v>
      </c>
      <c r="D2291" s="74" t="s">
        <v>1227</v>
      </c>
      <c r="E2291" s="74" t="s">
        <v>1224</v>
      </c>
      <c r="F2291" s="74" t="s">
        <v>1226</v>
      </c>
      <c r="G2291" s="74" t="s">
        <v>1226</v>
      </c>
    </row>
    <row r="2292" spans="1:7" x14ac:dyDescent="0.2">
      <c r="A2292" s="39">
        <v>9342</v>
      </c>
      <c r="B2292" s="38" t="s">
        <v>1169</v>
      </c>
      <c r="C2292" s="39" t="s">
        <v>1433</v>
      </c>
      <c r="D2292" s="74" t="s">
        <v>1227</v>
      </c>
      <c r="E2292" s="74" t="s">
        <v>1224</v>
      </c>
      <c r="F2292" s="74" t="s">
        <v>1226</v>
      </c>
      <c r="G2292" s="74" t="s">
        <v>1225</v>
      </c>
    </row>
    <row r="2293" spans="1:7" x14ac:dyDescent="0.2">
      <c r="A2293" s="39">
        <v>9343</v>
      </c>
      <c r="B2293" s="38" t="s">
        <v>1170</v>
      </c>
      <c r="C2293" s="39" t="s">
        <v>1433</v>
      </c>
      <c r="D2293" s="74" t="s">
        <v>1227</v>
      </c>
      <c r="E2293" s="74" t="s">
        <v>1224</v>
      </c>
      <c r="F2293" s="74" t="s">
        <v>1226</v>
      </c>
      <c r="G2293" s="74" t="s">
        <v>1225</v>
      </c>
    </row>
    <row r="2294" spans="1:7" x14ac:dyDescent="0.2">
      <c r="A2294" s="39">
        <v>9344</v>
      </c>
      <c r="B2294" s="38" t="s">
        <v>1171</v>
      </c>
      <c r="C2294" s="39" t="s">
        <v>1433</v>
      </c>
      <c r="D2294" s="74" t="s">
        <v>1227</v>
      </c>
      <c r="E2294" s="74" t="s">
        <v>1224</v>
      </c>
      <c r="F2294" s="74" t="s">
        <v>1226</v>
      </c>
      <c r="G2294" s="74" t="s">
        <v>1226</v>
      </c>
    </row>
    <row r="2295" spans="1:7" x14ac:dyDescent="0.2">
      <c r="A2295" s="39">
        <v>9345</v>
      </c>
      <c r="B2295" s="38" t="s">
        <v>1172</v>
      </c>
      <c r="C2295" s="39" t="s">
        <v>1433</v>
      </c>
      <c r="D2295" s="74" t="s">
        <v>1227</v>
      </c>
      <c r="E2295" s="74" t="s">
        <v>1224</v>
      </c>
      <c r="F2295" s="74" t="s">
        <v>1226</v>
      </c>
      <c r="G2295" s="74" t="s">
        <v>1225</v>
      </c>
    </row>
    <row r="2296" spans="1:7" x14ac:dyDescent="0.2">
      <c r="A2296" s="39">
        <v>9346</v>
      </c>
      <c r="B2296" s="38" t="s">
        <v>1173</v>
      </c>
      <c r="C2296" s="39" t="s">
        <v>1433</v>
      </c>
      <c r="D2296" s="74" t="s">
        <v>1227</v>
      </c>
      <c r="E2296" s="74" t="s">
        <v>1224</v>
      </c>
      <c r="F2296" s="74" t="s">
        <v>1226</v>
      </c>
      <c r="G2296" s="74" t="s">
        <v>1225</v>
      </c>
    </row>
    <row r="2297" spans="1:7" x14ac:dyDescent="0.2">
      <c r="A2297" s="39">
        <v>9360</v>
      </c>
      <c r="B2297" s="38" t="s">
        <v>1174</v>
      </c>
      <c r="C2297" s="39" t="s">
        <v>1433</v>
      </c>
      <c r="D2297" s="74" t="s">
        <v>1227</v>
      </c>
      <c r="E2297" s="74" t="s">
        <v>1224</v>
      </c>
      <c r="F2297" s="74" t="s">
        <v>1226</v>
      </c>
      <c r="G2297" s="74" t="s">
        <v>1226</v>
      </c>
    </row>
    <row r="2298" spans="1:7" x14ac:dyDescent="0.2">
      <c r="A2298" s="39">
        <v>9361</v>
      </c>
      <c r="B2298" s="38" t="s">
        <v>1175</v>
      </c>
      <c r="C2298" s="39" t="s">
        <v>1433</v>
      </c>
      <c r="D2298" s="74" t="s">
        <v>1227</v>
      </c>
      <c r="E2298" s="74" t="s">
        <v>1224</v>
      </c>
      <c r="F2298" s="74" t="s">
        <v>1226</v>
      </c>
      <c r="G2298" s="74" t="s">
        <v>1225</v>
      </c>
    </row>
    <row r="2299" spans="1:7" x14ac:dyDescent="0.2">
      <c r="A2299" s="39">
        <v>9362</v>
      </c>
      <c r="B2299" s="38" t="s">
        <v>1176</v>
      </c>
      <c r="C2299" s="39" t="s">
        <v>1433</v>
      </c>
      <c r="D2299" s="74" t="s">
        <v>1227</v>
      </c>
      <c r="E2299" s="74" t="s">
        <v>1224</v>
      </c>
      <c r="F2299" s="74" t="s">
        <v>1226</v>
      </c>
      <c r="G2299" s="74" t="s">
        <v>1225</v>
      </c>
    </row>
    <row r="2300" spans="1:7" x14ac:dyDescent="0.2">
      <c r="A2300" s="39">
        <v>9363</v>
      </c>
      <c r="B2300" s="38" t="s">
        <v>1177</v>
      </c>
      <c r="C2300" s="39" t="s">
        <v>1433</v>
      </c>
      <c r="D2300" s="74" t="s">
        <v>1227</v>
      </c>
      <c r="E2300" s="74" t="s">
        <v>1224</v>
      </c>
      <c r="F2300" s="74" t="s">
        <v>1226</v>
      </c>
      <c r="G2300" s="74" t="s">
        <v>1226</v>
      </c>
    </row>
    <row r="2301" spans="1:7" x14ac:dyDescent="0.2">
      <c r="A2301" s="39">
        <v>9371</v>
      </c>
      <c r="B2301" s="38" t="s">
        <v>1178</v>
      </c>
      <c r="C2301" s="39" t="s">
        <v>1433</v>
      </c>
      <c r="D2301" s="74" t="s">
        <v>1227</v>
      </c>
      <c r="E2301" s="74" t="s">
        <v>1224</v>
      </c>
      <c r="F2301" s="74" t="s">
        <v>1226</v>
      </c>
      <c r="G2301" s="74" t="s">
        <v>1226</v>
      </c>
    </row>
    <row r="2302" spans="1:7" x14ac:dyDescent="0.2">
      <c r="A2302" s="39">
        <v>9372</v>
      </c>
      <c r="B2302" s="38" t="s">
        <v>1179</v>
      </c>
      <c r="C2302" s="39" t="s">
        <v>1433</v>
      </c>
      <c r="D2302" s="74" t="s">
        <v>1227</v>
      </c>
      <c r="E2302" s="74" t="s">
        <v>1224</v>
      </c>
      <c r="F2302" s="74" t="s">
        <v>1226</v>
      </c>
      <c r="G2302" s="74" t="s">
        <v>1225</v>
      </c>
    </row>
    <row r="2303" spans="1:7" x14ac:dyDescent="0.2">
      <c r="A2303" s="39">
        <v>9373</v>
      </c>
      <c r="B2303" s="38" t="s">
        <v>1180</v>
      </c>
      <c r="C2303" s="39" t="s">
        <v>1433</v>
      </c>
      <c r="D2303" s="74" t="s">
        <v>1227</v>
      </c>
      <c r="E2303" s="74" t="s">
        <v>1224</v>
      </c>
      <c r="F2303" s="74" t="s">
        <v>1226</v>
      </c>
      <c r="G2303" s="74" t="s">
        <v>1226</v>
      </c>
    </row>
    <row r="2304" spans="1:7" x14ac:dyDescent="0.2">
      <c r="A2304" s="39">
        <v>9374</v>
      </c>
      <c r="B2304" s="38" t="s">
        <v>1181</v>
      </c>
      <c r="C2304" s="39" t="s">
        <v>1433</v>
      </c>
      <c r="D2304" s="74" t="s">
        <v>1227</v>
      </c>
      <c r="E2304" s="74" t="s">
        <v>1224</v>
      </c>
      <c r="F2304" s="74" t="s">
        <v>1226</v>
      </c>
      <c r="G2304" s="74" t="s">
        <v>1225</v>
      </c>
    </row>
    <row r="2305" spans="1:7" x14ac:dyDescent="0.2">
      <c r="A2305" s="39">
        <v>9375</v>
      </c>
      <c r="B2305" s="38" t="s">
        <v>1182</v>
      </c>
      <c r="C2305" s="39" t="s">
        <v>1433</v>
      </c>
      <c r="D2305" s="74" t="s">
        <v>1227</v>
      </c>
      <c r="E2305" s="74" t="s">
        <v>1224</v>
      </c>
      <c r="F2305" s="74" t="s">
        <v>1226</v>
      </c>
      <c r="G2305" s="74" t="s">
        <v>1226</v>
      </c>
    </row>
    <row r="2306" spans="1:7" x14ac:dyDescent="0.2">
      <c r="A2306" s="39">
        <v>9376</v>
      </c>
      <c r="B2306" s="38" t="s">
        <v>1183</v>
      </c>
      <c r="C2306" s="39" t="s">
        <v>1433</v>
      </c>
      <c r="D2306" s="74" t="s">
        <v>1227</v>
      </c>
      <c r="E2306" s="74" t="s">
        <v>1224</v>
      </c>
      <c r="F2306" s="74" t="s">
        <v>1226</v>
      </c>
      <c r="G2306" s="74" t="s">
        <v>1225</v>
      </c>
    </row>
    <row r="2307" spans="1:7" x14ac:dyDescent="0.2">
      <c r="A2307" s="39">
        <v>9400</v>
      </c>
      <c r="B2307" s="38" t="s">
        <v>1207</v>
      </c>
      <c r="C2307" s="39" t="s">
        <v>1433</v>
      </c>
      <c r="D2307" s="74" t="s">
        <v>1227</v>
      </c>
      <c r="E2307" s="74" t="s">
        <v>1224</v>
      </c>
      <c r="F2307" s="74" t="s">
        <v>1226</v>
      </c>
      <c r="G2307" s="74" t="s">
        <v>1226</v>
      </c>
    </row>
    <row r="2308" spans="1:7" x14ac:dyDescent="0.2">
      <c r="A2308" s="39">
        <v>9402</v>
      </c>
      <c r="B2308" s="38" t="s">
        <v>1184</v>
      </c>
      <c r="C2308" s="39" t="s">
        <v>1433</v>
      </c>
      <c r="D2308" s="74" t="s">
        <v>1229</v>
      </c>
      <c r="E2308" s="74" t="s">
        <v>1224</v>
      </c>
      <c r="F2308" s="74" t="s">
        <v>1225</v>
      </c>
      <c r="G2308" s="74" t="s">
        <v>1226</v>
      </c>
    </row>
    <row r="2309" spans="1:7" x14ac:dyDescent="0.2">
      <c r="A2309" s="39">
        <v>9411</v>
      </c>
      <c r="B2309" s="38" t="s">
        <v>1185</v>
      </c>
      <c r="C2309" s="39" t="s">
        <v>1433</v>
      </c>
      <c r="D2309" s="74" t="s">
        <v>1227</v>
      </c>
      <c r="E2309" s="74" t="s">
        <v>1224</v>
      </c>
      <c r="F2309" s="74" t="s">
        <v>1226</v>
      </c>
      <c r="G2309" s="74" t="s">
        <v>1225</v>
      </c>
    </row>
    <row r="2310" spans="1:7" x14ac:dyDescent="0.2">
      <c r="A2310" s="39">
        <v>9412</v>
      </c>
      <c r="B2310" s="38" t="s">
        <v>1186</v>
      </c>
      <c r="C2310" s="39" t="s">
        <v>1433</v>
      </c>
      <c r="D2310" s="74" t="s">
        <v>1227</v>
      </c>
      <c r="E2310" s="74" t="s">
        <v>1224</v>
      </c>
      <c r="F2310" s="74" t="s">
        <v>1226</v>
      </c>
      <c r="G2310" s="74" t="s">
        <v>1225</v>
      </c>
    </row>
    <row r="2311" spans="1:7" x14ac:dyDescent="0.2">
      <c r="A2311" s="39">
        <v>9413</v>
      </c>
      <c r="B2311" s="38" t="s">
        <v>1187</v>
      </c>
      <c r="C2311" s="39" t="s">
        <v>1433</v>
      </c>
      <c r="D2311" s="74" t="s">
        <v>1227</v>
      </c>
      <c r="E2311" s="74" t="s">
        <v>1224</v>
      </c>
      <c r="F2311" s="74" t="s">
        <v>1226</v>
      </c>
      <c r="G2311" s="74" t="s">
        <v>1225</v>
      </c>
    </row>
    <row r="2312" spans="1:7" x14ac:dyDescent="0.2">
      <c r="A2312" s="39">
        <v>9421</v>
      </c>
      <c r="B2312" s="38" t="s">
        <v>1188</v>
      </c>
      <c r="C2312" s="39" t="s">
        <v>1433</v>
      </c>
      <c r="D2312" s="74" t="s">
        <v>1227</v>
      </c>
      <c r="E2312" s="74" t="s">
        <v>1224</v>
      </c>
      <c r="F2312" s="74" t="s">
        <v>1226</v>
      </c>
      <c r="G2312" s="74" t="s">
        <v>1226</v>
      </c>
    </row>
    <row r="2313" spans="1:7" x14ac:dyDescent="0.2">
      <c r="A2313" s="39">
        <v>9422</v>
      </c>
      <c r="B2313" s="38" t="s">
        <v>1189</v>
      </c>
      <c r="C2313" s="39" t="s">
        <v>1433</v>
      </c>
      <c r="D2313" s="74" t="s">
        <v>1227</v>
      </c>
      <c r="E2313" s="74" t="s">
        <v>1224</v>
      </c>
      <c r="F2313" s="74" t="s">
        <v>1226</v>
      </c>
      <c r="G2313" s="74" t="s">
        <v>1225</v>
      </c>
    </row>
    <row r="2314" spans="1:7" x14ac:dyDescent="0.2">
      <c r="A2314" s="39">
        <v>9423</v>
      </c>
      <c r="B2314" s="38" t="s">
        <v>1190</v>
      </c>
      <c r="C2314" s="39" t="s">
        <v>1433</v>
      </c>
      <c r="D2314" s="74" t="s">
        <v>1227</v>
      </c>
      <c r="E2314" s="74" t="s">
        <v>1224</v>
      </c>
      <c r="F2314" s="74" t="s">
        <v>1226</v>
      </c>
      <c r="G2314" s="74" t="s">
        <v>1225</v>
      </c>
    </row>
    <row r="2315" spans="1:7" x14ac:dyDescent="0.2">
      <c r="A2315" s="39">
        <v>9431</v>
      </c>
      <c r="B2315" s="38" t="s">
        <v>1191</v>
      </c>
      <c r="C2315" s="39" t="s">
        <v>1433</v>
      </c>
      <c r="D2315" s="74" t="s">
        <v>1227</v>
      </c>
      <c r="E2315" s="74" t="s">
        <v>1224</v>
      </c>
      <c r="F2315" s="74" t="s">
        <v>1226</v>
      </c>
      <c r="G2315" s="74" t="s">
        <v>1226</v>
      </c>
    </row>
    <row r="2316" spans="1:7" x14ac:dyDescent="0.2">
      <c r="A2316" s="39">
        <v>9433</v>
      </c>
      <c r="B2316" s="38" t="s">
        <v>1192</v>
      </c>
      <c r="C2316" s="39" t="s">
        <v>1433</v>
      </c>
      <c r="D2316" s="74" t="s">
        <v>1227</v>
      </c>
      <c r="E2316" s="74" t="s">
        <v>1224</v>
      </c>
      <c r="F2316" s="74" t="s">
        <v>1226</v>
      </c>
      <c r="G2316" s="74" t="s">
        <v>1226</v>
      </c>
    </row>
    <row r="2317" spans="1:7" x14ac:dyDescent="0.2">
      <c r="A2317" s="39">
        <v>9441</v>
      </c>
      <c r="B2317" s="38" t="s">
        <v>1193</v>
      </c>
      <c r="C2317" s="39" t="s">
        <v>1433</v>
      </c>
      <c r="D2317" s="74" t="s">
        <v>1227</v>
      </c>
      <c r="E2317" s="74" t="s">
        <v>1224</v>
      </c>
      <c r="F2317" s="74" t="s">
        <v>1226</v>
      </c>
      <c r="G2317" s="74" t="s">
        <v>1225</v>
      </c>
    </row>
    <row r="2318" spans="1:7" x14ac:dyDescent="0.2">
      <c r="A2318" s="39">
        <v>9451</v>
      </c>
      <c r="B2318" s="38" t="s">
        <v>1194</v>
      </c>
      <c r="C2318" s="39" t="s">
        <v>1433</v>
      </c>
      <c r="D2318" s="74" t="s">
        <v>1227</v>
      </c>
      <c r="E2318" s="74" t="s">
        <v>1224</v>
      </c>
      <c r="F2318" s="74" t="s">
        <v>1226</v>
      </c>
      <c r="G2318" s="74" t="s">
        <v>1225</v>
      </c>
    </row>
    <row r="2319" spans="1:7" x14ac:dyDescent="0.2">
      <c r="A2319" s="39">
        <v>9461</v>
      </c>
      <c r="B2319" s="38" t="s">
        <v>1195</v>
      </c>
      <c r="C2319" s="39" t="s">
        <v>1433</v>
      </c>
      <c r="D2319" s="74" t="s">
        <v>1227</v>
      </c>
      <c r="E2319" s="74" t="s">
        <v>1224</v>
      </c>
      <c r="F2319" s="74" t="s">
        <v>1226</v>
      </c>
      <c r="G2319" s="74" t="s">
        <v>1225</v>
      </c>
    </row>
    <row r="2320" spans="1:7" x14ac:dyDescent="0.2">
      <c r="A2320" s="39">
        <v>9462</v>
      </c>
      <c r="B2320" s="38" t="s">
        <v>1196</v>
      </c>
      <c r="C2320" s="39" t="s">
        <v>1433</v>
      </c>
      <c r="D2320" s="74" t="s">
        <v>1227</v>
      </c>
      <c r="E2320" s="74" t="s">
        <v>1224</v>
      </c>
      <c r="F2320" s="74" t="s">
        <v>1226</v>
      </c>
      <c r="G2320" s="74" t="s">
        <v>1226</v>
      </c>
    </row>
    <row r="2321" spans="1:7" x14ac:dyDescent="0.2">
      <c r="A2321" s="39">
        <v>9463</v>
      </c>
      <c r="B2321" s="38" t="s">
        <v>1197</v>
      </c>
      <c r="C2321" s="39" t="s">
        <v>1433</v>
      </c>
      <c r="D2321" s="74" t="s">
        <v>1227</v>
      </c>
      <c r="E2321" s="74" t="s">
        <v>1224</v>
      </c>
      <c r="F2321" s="74" t="s">
        <v>1226</v>
      </c>
      <c r="G2321" s="74" t="s">
        <v>1225</v>
      </c>
    </row>
    <row r="2322" spans="1:7" x14ac:dyDescent="0.2">
      <c r="A2322" s="39">
        <v>9470</v>
      </c>
      <c r="B2322" s="38" t="s">
        <v>1198</v>
      </c>
      <c r="C2322" s="39" t="s">
        <v>1433</v>
      </c>
      <c r="D2322" s="74" t="s">
        <v>1227</v>
      </c>
      <c r="E2322" s="74" t="s">
        <v>1224</v>
      </c>
      <c r="F2322" s="74" t="s">
        <v>1226</v>
      </c>
      <c r="G2322" s="74" t="s">
        <v>1226</v>
      </c>
    </row>
    <row r="2323" spans="1:7" x14ac:dyDescent="0.2">
      <c r="A2323" s="39">
        <v>9472</v>
      </c>
      <c r="B2323" s="38" t="s">
        <v>1199</v>
      </c>
      <c r="C2323" s="39" t="s">
        <v>1433</v>
      </c>
      <c r="D2323" s="74" t="s">
        <v>1227</v>
      </c>
      <c r="E2323" s="74" t="s">
        <v>1224</v>
      </c>
      <c r="F2323" s="74" t="s">
        <v>1226</v>
      </c>
      <c r="G2323" s="74" t="s">
        <v>1225</v>
      </c>
    </row>
    <row r="2324" spans="1:7" x14ac:dyDescent="0.2">
      <c r="A2324" s="39">
        <v>9473</v>
      </c>
      <c r="B2324" s="38" t="s">
        <v>1479</v>
      </c>
      <c r="C2324" s="39" t="s">
        <v>1433</v>
      </c>
      <c r="D2324" s="74" t="s">
        <v>1227</v>
      </c>
      <c r="E2324" s="74" t="s">
        <v>1224</v>
      </c>
      <c r="F2324" s="74" t="s">
        <v>1226</v>
      </c>
      <c r="G2324" s="74" t="s">
        <v>1226</v>
      </c>
    </row>
    <row r="2325" spans="1:7" x14ac:dyDescent="0.2">
      <c r="A2325" s="39">
        <v>9500</v>
      </c>
      <c r="B2325" s="38" t="s">
        <v>265</v>
      </c>
      <c r="C2325" s="39" t="s">
        <v>1433</v>
      </c>
      <c r="D2325" s="74" t="s">
        <v>1227</v>
      </c>
      <c r="E2325" s="74" t="s">
        <v>1224</v>
      </c>
      <c r="F2325" s="74" t="s">
        <v>1226</v>
      </c>
      <c r="G2325" s="74" t="s">
        <v>1226</v>
      </c>
    </row>
    <row r="2326" spans="1:7" x14ac:dyDescent="0.2">
      <c r="A2326" s="39">
        <v>9501</v>
      </c>
      <c r="B2326" s="38" t="s">
        <v>265</v>
      </c>
      <c r="C2326" s="39" t="s">
        <v>1433</v>
      </c>
      <c r="D2326" s="74" t="s">
        <v>1229</v>
      </c>
      <c r="E2326" s="74" t="s">
        <v>1224</v>
      </c>
      <c r="F2326" s="74" t="s">
        <v>1225</v>
      </c>
      <c r="G2326" s="74" t="s">
        <v>1226</v>
      </c>
    </row>
    <row r="2327" spans="1:7" x14ac:dyDescent="0.2">
      <c r="A2327" s="39">
        <v>9503</v>
      </c>
      <c r="B2327" s="38" t="s">
        <v>265</v>
      </c>
      <c r="C2327" s="39" t="s">
        <v>1433</v>
      </c>
      <c r="D2327" s="74" t="s">
        <v>1229</v>
      </c>
      <c r="E2327" s="74" t="s">
        <v>1224</v>
      </c>
      <c r="F2327" s="74" t="s">
        <v>1225</v>
      </c>
      <c r="G2327" s="74" t="s">
        <v>1226</v>
      </c>
    </row>
    <row r="2328" spans="1:7" x14ac:dyDescent="0.2">
      <c r="A2328" s="39">
        <v>9504</v>
      </c>
      <c r="B2328" s="38" t="s">
        <v>1480</v>
      </c>
      <c r="C2328" s="39" t="s">
        <v>1433</v>
      </c>
      <c r="D2328" s="74" t="s">
        <v>1227</v>
      </c>
      <c r="E2328" s="74" t="s">
        <v>1224</v>
      </c>
      <c r="F2328" s="74" t="s">
        <v>1226</v>
      </c>
      <c r="G2328" s="74" t="s">
        <v>1225</v>
      </c>
    </row>
    <row r="2329" spans="1:7" x14ac:dyDescent="0.2">
      <c r="A2329" s="39">
        <v>9505</v>
      </c>
      <c r="B2329" s="38" t="s">
        <v>265</v>
      </c>
      <c r="C2329" s="39" t="s">
        <v>1433</v>
      </c>
      <c r="D2329" s="74" t="s">
        <v>1229</v>
      </c>
      <c r="E2329" s="74" t="s">
        <v>1224</v>
      </c>
      <c r="F2329" s="74" t="s">
        <v>1225</v>
      </c>
      <c r="G2329" s="74" t="s">
        <v>1226</v>
      </c>
    </row>
    <row r="2330" spans="1:7" x14ac:dyDescent="0.2">
      <c r="A2330" s="39">
        <v>9506</v>
      </c>
      <c r="B2330" s="38" t="s">
        <v>265</v>
      </c>
      <c r="C2330" s="39" t="s">
        <v>1433</v>
      </c>
      <c r="D2330" s="74" t="s">
        <v>1229</v>
      </c>
      <c r="E2330" s="74" t="s">
        <v>1224</v>
      </c>
      <c r="F2330" s="74" t="s">
        <v>1225</v>
      </c>
      <c r="G2330" s="74" t="s">
        <v>1226</v>
      </c>
    </row>
    <row r="2331" spans="1:7" x14ac:dyDescent="0.2">
      <c r="A2331" s="39">
        <v>9507</v>
      </c>
      <c r="B2331" s="38" t="s">
        <v>265</v>
      </c>
      <c r="C2331" s="39" t="s">
        <v>1433</v>
      </c>
      <c r="D2331" s="74" t="s">
        <v>1229</v>
      </c>
      <c r="E2331" s="74" t="s">
        <v>1224</v>
      </c>
      <c r="F2331" s="74" t="s">
        <v>1225</v>
      </c>
      <c r="G2331" s="74" t="s">
        <v>1226</v>
      </c>
    </row>
    <row r="2332" spans="1:7" x14ac:dyDescent="0.2">
      <c r="A2332" s="39">
        <v>9508</v>
      </c>
      <c r="B2332" s="38" t="s">
        <v>265</v>
      </c>
      <c r="C2332" s="39" t="s">
        <v>1433</v>
      </c>
      <c r="D2332" s="74" t="s">
        <v>1229</v>
      </c>
      <c r="E2332" s="74" t="s">
        <v>1224</v>
      </c>
      <c r="F2332" s="74" t="s">
        <v>1225</v>
      </c>
      <c r="G2332" s="74" t="s">
        <v>1226</v>
      </c>
    </row>
    <row r="2333" spans="1:7" x14ac:dyDescent="0.2">
      <c r="A2333" s="39">
        <v>9520</v>
      </c>
      <c r="B2333" s="38" t="s">
        <v>1481</v>
      </c>
      <c r="C2333" s="39" t="s">
        <v>1433</v>
      </c>
      <c r="D2333" s="74" t="s">
        <v>1227</v>
      </c>
      <c r="E2333" s="74" t="s">
        <v>1224</v>
      </c>
      <c r="F2333" s="74" t="s">
        <v>1226</v>
      </c>
      <c r="G2333" s="74" t="s">
        <v>1225</v>
      </c>
    </row>
    <row r="2334" spans="1:7" x14ac:dyDescent="0.2">
      <c r="A2334" s="39">
        <v>9521</v>
      </c>
      <c r="B2334" s="38" t="s">
        <v>1482</v>
      </c>
      <c r="C2334" s="39" t="s">
        <v>1433</v>
      </c>
      <c r="D2334" s="74" t="s">
        <v>1227</v>
      </c>
      <c r="E2334" s="74" t="s">
        <v>1224</v>
      </c>
      <c r="F2334" s="74" t="s">
        <v>1226</v>
      </c>
      <c r="G2334" s="74" t="s">
        <v>1226</v>
      </c>
    </row>
    <row r="2335" spans="1:7" x14ac:dyDescent="0.2">
      <c r="A2335" s="39">
        <v>9523</v>
      </c>
      <c r="B2335" s="38" t="s">
        <v>1483</v>
      </c>
      <c r="C2335" s="39" t="s">
        <v>1433</v>
      </c>
      <c r="D2335" s="74" t="s">
        <v>1227</v>
      </c>
      <c r="E2335" s="74" t="s">
        <v>1224</v>
      </c>
      <c r="F2335" s="74" t="s">
        <v>1226</v>
      </c>
      <c r="G2335" s="74" t="s">
        <v>1226</v>
      </c>
    </row>
    <row r="2336" spans="1:7" x14ac:dyDescent="0.2">
      <c r="A2336" s="39">
        <v>9524</v>
      </c>
      <c r="B2336" s="38" t="s">
        <v>1484</v>
      </c>
      <c r="C2336" s="39" t="s">
        <v>1433</v>
      </c>
      <c r="D2336" s="74" t="s">
        <v>1227</v>
      </c>
      <c r="E2336" s="74" t="s">
        <v>1224</v>
      </c>
      <c r="F2336" s="74" t="s">
        <v>1226</v>
      </c>
      <c r="G2336" s="74" t="s">
        <v>1226</v>
      </c>
    </row>
    <row r="2337" spans="1:7" x14ac:dyDescent="0.2">
      <c r="A2337" s="39">
        <v>9530</v>
      </c>
      <c r="B2337" s="38" t="s">
        <v>1485</v>
      </c>
      <c r="C2337" s="39" t="s">
        <v>1433</v>
      </c>
      <c r="D2337" s="74" t="s">
        <v>1227</v>
      </c>
      <c r="E2337" s="74" t="s">
        <v>1224</v>
      </c>
      <c r="F2337" s="74" t="s">
        <v>1226</v>
      </c>
      <c r="G2337" s="74" t="s">
        <v>1226</v>
      </c>
    </row>
    <row r="2338" spans="1:7" x14ac:dyDescent="0.2">
      <c r="A2338" s="39">
        <v>9531</v>
      </c>
      <c r="B2338" s="38" t="s">
        <v>1486</v>
      </c>
      <c r="C2338" s="39" t="s">
        <v>1433</v>
      </c>
      <c r="D2338" s="74" t="s">
        <v>1227</v>
      </c>
      <c r="E2338" s="74" t="s">
        <v>1224</v>
      </c>
      <c r="F2338" s="74" t="s">
        <v>1226</v>
      </c>
      <c r="G2338" s="74" t="s">
        <v>1225</v>
      </c>
    </row>
    <row r="2339" spans="1:7" x14ac:dyDescent="0.2">
      <c r="A2339" s="39">
        <v>9535</v>
      </c>
      <c r="B2339" s="38" t="s">
        <v>1487</v>
      </c>
      <c r="C2339" s="39" t="s">
        <v>1433</v>
      </c>
      <c r="D2339" s="74" t="s">
        <v>1227</v>
      </c>
      <c r="E2339" s="74" t="s">
        <v>1224</v>
      </c>
      <c r="F2339" s="74" t="s">
        <v>1226</v>
      </c>
      <c r="G2339" s="74" t="s">
        <v>1226</v>
      </c>
    </row>
    <row r="2340" spans="1:7" x14ac:dyDescent="0.2">
      <c r="A2340" s="39">
        <v>9536</v>
      </c>
      <c r="B2340" s="38" t="s">
        <v>1488</v>
      </c>
      <c r="C2340" s="39" t="s">
        <v>1433</v>
      </c>
      <c r="D2340" s="74" t="s">
        <v>1227</v>
      </c>
      <c r="E2340" s="74" t="s">
        <v>1224</v>
      </c>
      <c r="F2340" s="74" t="s">
        <v>1226</v>
      </c>
      <c r="G2340" s="74" t="s">
        <v>1225</v>
      </c>
    </row>
    <row r="2341" spans="1:7" x14ac:dyDescent="0.2">
      <c r="A2341" s="39">
        <v>9541</v>
      </c>
      <c r="B2341" s="38" t="s">
        <v>1489</v>
      </c>
      <c r="C2341" s="39" t="s">
        <v>1433</v>
      </c>
      <c r="D2341" s="74" t="s">
        <v>1227</v>
      </c>
      <c r="E2341" s="74" t="s">
        <v>1224</v>
      </c>
      <c r="F2341" s="74" t="s">
        <v>1226</v>
      </c>
      <c r="G2341" s="74" t="s">
        <v>1225</v>
      </c>
    </row>
    <row r="2342" spans="1:7" x14ac:dyDescent="0.2">
      <c r="A2342" s="39">
        <v>9542</v>
      </c>
      <c r="B2342" s="38" t="s">
        <v>1490</v>
      </c>
      <c r="C2342" s="39" t="s">
        <v>1433</v>
      </c>
      <c r="D2342" s="74" t="s">
        <v>1227</v>
      </c>
      <c r="E2342" s="74" t="s">
        <v>1224</v>
      </c>
      <c r="F2342" s="74" t="s">
        <v>1226</v>
      </c>
      <c r="G2342" s="74" t="s">
        <v>1226</v>
      </c>
    </row>
    <row r="2343" spans="1:7" x14ac:dyDescent="0.2">
      <c r="A2343" s="39">
        <v>9543</v>
      </c>
      <c r="B2343" s="38" t="s">
        <v>112</v>
      </c>
      <c r="C2343" s="39" t="s">
        <v>1433</v>
      </c>
      <c r="D2343" s="74" t="s">
        <v>1227</v>
      </c>
      <c r="E2343" s="74" t="s">
        <v>1224</v>
      </c>
      <c r="F2343" s="74" t="s">
        <v>1226</v>
      </c>
      <c r="G2343" s="74" t="s">
        <v>1225</v>
      </c>
    </row>
    <row r="2344" spans="1:7" x14ac:dyDescent="0.2">
      <c r="A2344" s="39">
        <v>9544</v>
      </c>
      <c r="B2344" s="38" t="s">
        <v>1491</v>
      </c>
      <c r="C2344" s="39" t="s">
        <v>1433</v>
      </c>
      <c r="D2344" s="74" t="s">
        <v>1227</v>
      </c>
      <c r="E2344" s="74" t="s">
        <v>1224</v>
      </c>
      <c r="F2344" s="74" t="s">
        <v>1226</v>
      </c>
      <c r="G2344" s="74" t="s">
        <v>1225</v>
      </c>
    </row>
    <row r="2345" spans="1:7" x14ac:dyDescent="0.2">
      <c r="A2345" s="39">
        <v>9545</v>
      </c>
      <c r="B2345" s="38" t="s">
        <v>1492</v>
      </c>
      <c r="C2345" s="39" t="s">
        <v>1433</v>
      </c>
      <c r="D2345" s="74" t="s">
        <v>1227</v>
      </c>
      <c r="E2345" s="74" t="s">
        <v>1224</v>
      </c>
      <c r="F2345" s="74" t="s">
        <v>1226</v>
      </c>
      <c r="G2345" s="74" t="s">
        <v>1226</v>
      </c>
    </row>
    <row r="2346" spans="1:7" x14ac:dyDescent="0.2">
      <c r="A2346" s="39">
        <v>9546</v>
      </c>
      <c r="B2346" s="38" t="s">
        <v>1493</v>
      </c>
      <c r="C2346" s="39" t="s">
        <v>1433</v>
      </c>
      <c r="D2346" s="74" t="s">
        <v>1227</v>
      </c>
      <c r="E2346" s="74" t="s">
        <v>1224</v>
      </c>
      <c r="F2346" s="74" t="s">
        <v>1226</v>
      </c>
      <c r="G2346" s="74" t="s">
        <v>1226</v>
      </c>
    </row>
    <row r="2347" spans="1:7" x14ac:dyDescent="0.2">
      <c r="A2347" s="39">
        <v>9551</v>
      </c>
      <c r="B2347" s="38" t="s">
        <v>1494</v>
      </c>
      <c r="C2347" s="39" t="s">
        <v>1433</v>
      </c>
      <c r="D2347" s="74" t="s">
        <v>1227</v>
      </c>
      <c r="E2347" s="74" t="s">
        <v>1224</v>
      </c>
      <c r="F2347" s="74" t="s">
        <v>1226</v>
      </c>
      <c r="G2347" s="74" t="s">
        <v>1226</v>
      </c>
    </row>
    <row r="2348" spans="1:7" x14ac:dyDescent="0.2">
      <c r="A2348" s="39">
        <v>9552</v>
      </c>
      <c r="B2348" s="38" t="s">
        <v>1495</v>
      </c>
      <c r="C2348" s="39" t="s">
        <v>1433</v>
      </c>
      <c r="D2348" s="74" t="s">
        <v>1227</v>
      </c>
      <c r="E2348" s="74" t="s">
        <v>1224</v>
      </c>
      <c r="F2348" s="74" t="s">
        <v>1226</v>
      </c>
      <c r="G2348" s="74" t="s">
        <v>1225</v>
      </c>
    </row>
    <row r="2349" spans="1:7" x14ac:dyDescent="0.2">
      <c r="A2349" s="39">
        <v>9554</v>
      </c>
      <c r="B2349" s="38" t="s">
        <v>1496</v>
      </c>
      <c r="C2349" s="39" t="s">
        <v>1433</v>
      </c>
      <c r="D2349" s="74" t="s">
        <v>1227</v>
      </c>
      <c r="E2349" s="74" t="s">
        <v>1224</v>
      </c>
      <c r="F2349" s="74" t="s">
        <v>1226</v>
      </c>
      <c r="G2349" s="74" t="s">
        <v>1225</v>
      </c>
    </row>
    <row r="2350" spans="1:7" x14ac:dyDescent="0.2">
      <c r="A2350" s="39">
        <v>9555</v>
      </c>
      <c r="B2350" s="38" t="s">
        <v>1497</v>
      </c>
      <c r="C2350" s="39" t="s">
        <v>1433</v>
      </c>
      <c r="D2350" s="74" t="s">
        <v>1227</v>
      </c>
      <c r="E2350" s="74" t="s">
        <v>1224</v>
      </c>
      <c r="F2350" s="74" t="s">
        <v>1226</v>
      </c>
      <c r="G2350" s="74" t="s">
        <v>1226</v>
      </c>
    </row>
    <row r="2351" spans="1:7" x14ac:dyDescent="0.2">
      <c r="A2351" s="39">
        <v>9556</v>
      </c>
      <c r="B2351" s="38" t="s">
        <v>1498</v>
      </c>
      <c r="C2351" s="39" t="s">
        <v>1433</v>
      </c>
      <c r="D2351" s="74" t="s">
        <v>1227</v>
      </c>
      <c r="E2351" s="74" t="s">
        <v>1224</v>
      </c>
      <c r="F2351" s="74" t="s">
        <v>1226</v>
      </c>
      <c r="G2351" s="74" t="s">
        <v>1226</v>
      </c>
    </row>
    <row r="2352" spans="1:7" x14ac:dyDescent="0.2">
      <c r="A2352" s="39">
        <v>9560</v>
      </c>
      <c r="B2352" s="38" t="s">
        <v>1499</v>
      </c>
      <c r="C2352" s="39" t="s">
        <v>1433</v>
      </c>
      <c r="D2352" s="74" t="s">
        <v>1227</v>
      </c>
      <c r="E2352" s="74" t="s">
        <v>1224</v>
      </c>
      <c r="F2352" s="74" t="s">
        <v>1226</v>
      </c>
      <c r="G2352" s="74" t="s">
        <v>1226</v>
      </c>
    </row>
    <row r="2353" spans="1:7" x14ac:dyDescent="0.2">
      <c r="A2353" s="39">
        <v>9562</v>
      </c>
      <c r="B2353" s="38" t="s">
        <v>1500</v>
      </c>
      <c r="C2353" s="39" t="s">
        <v>1433</v>
      </c>
      <c r="D2353" s="74" t="s">
        <v>1227</v>
      </c>
      <c r="E2353" s="74" t="s">
        <v>1224</v>
      </c>
      <c r="F2353" s="74" t="s">
        <v>1226</v>
      </c>
      <c r="G2353" s="74" t="s">
        <v>1225</v>
      </c>
    </row>
    <row r="2354" spans="1:7" x14ac:dyDescent="0.2">
      <c r="A2354" s="39">
        <v>9563</v>
      </c>
      <c r="B2354" s="38" t="s">
        <v>1501</v>
      </c>
      <c r="C2354" s="39" t="s">
        <v>1433</v>
      </c>
      <c r="D2354" s="74" t="s">
        <v>1227</v>
      </c>
      <c r="E2354" s="74" t="s">
        <v>1224</v>
      </c>
      <c r="F2354" s="74" t="s">
        <v>1226</v>
      </c>
      <c r="G2354" s="74" t="s">
        <v>1225</v>
      </c>
    </row>
    <row r="2355" spans="1:7" x14ac:dyDescent="0.2">
      <c r="A2355" s="39">
        <v>9564</v>
      </c>
      <c r="B2355" s="38" t="s">
        <v>1502</v>
      </c>
      <c r="C2355" s="39" t="s">
        <v>1433</v>
      </c>
      <c r="D2355" s="74" t="s">
        <v>1227</v>
      </c>
      <c r="E2355" s="74" t="s">
        <v>1224</v>
      </c>
      <c r="F2355" s="74" t="s">
        <v>1226</v>
      </c>
      <c r="G2355" s="74" t="s">
        <v>1226</v>
      </c>
    </row>
    <row r="2356" spans="1:7" x14ac:dyDescent="0.2">
      <c r="A2356" s="39">
        <v>9565</v>
      </c>
      <c r="B2356" s="38" t="s">
        <v>1503</v>
      </c>
      <c r="C2356" s="39" t="s">
        <v>1433</v>
      </c>
      <c r="D2356" s="74" t="s">
        <v>1227</v>
      </c>
      <c r="E2356" s="74" t="s">
        <v>1224</v>
      </c>
      <c r="F2356" s="74" t="s">
        <v>1226</v>
      </c>
      <c r="G2356" s="74" t="s">
        <v>1225</v>
      </c>
    </row>
    <row r="2357" spans="1:7" x14ac:dyDescent="0.2">
      <c r="A2357" s="39">
        <v>9570</v>
      </c>
      <c r="B2357" s="38" t="s">
        <v>1504</v>
      </c>
      <c r="C2357" s="39" t="s">
        <v>1433</v>
      </c>
      <c r="D2357" s="74" t="s">
        <v>1227</v>
      </c>
      <c r="E2357" s="74" t="s">
        <v>1224</v>
      </c>
      <c r="F2357" s="74" t="s">
        <v>1226</v>
      </c>
      <c r="G2357" s="74" t="s">
        <v>1225</v>
      </c>
    </row>
    <row r="2358" spans="1:7" x14ac:dyDescent="0.2">
      <c r="A2358" s="39">
        <v>9571</v>
      </c>
      <c r="B2358" s="38" t="s">
        <v>1505</v>
      </c>
      <c r="C2358" s="39" t="s">
        <v>1433</v>
      </c>
      <c r="D2358" s="74" t="s">
        <v>1227</v>
      </c>
      <c r="E2358" s="74" t="s">
        <v>1224</v>
      </c>
      <c r="F2358" s="74" t="s">
        <v>1226</v>
      </c>
      <c r="G2358" s="74" t="s">
        <v>1226</v>
      </c>
    </row>
    <row r="2359" spans="1:7" x14ac:dyDescent="0.2">
      <c r="A2359" s="39">
        <v>9572</v>
      </c>
      <c r="B2359" s="38" t="s">
        <v>1506</v>
      </c>
      <c r="C2359" s="39" t="s">
        <v>1433</v>
      </c>
      <c r="D2359" s="74" t="s">
        <v>1227</v>
      </c>
      <c r="E2359" s="74" t="s">
        <v>1224</v>
      </c>
      <c r="F2359" s="74" t="s">
        <v>1226</v>
      </c>
      <c r="G2359" s="74" t="s">
        <v>1225</v>
      </c>
    </row>
    <row r="2360" spans="1:7" x14ac:dyDescent="0.2">
      <c r="A2360" s="39">
        <v>9580</v>
      </c>
      <c r="B2360" s="38" t="s">
        <v>1507</v>
      </c>
      <c r="C2360" s="39" t="s">
        <v>1433</v>
      </c>
      <c r="D2360" s="74" t="s">
        <v>1227</v>
      </c>
      <c r="E2360" s="74" t="s">
        <v>1224</v>
      </c>
      <c r="F2360" s="74" t="s">
        <v>1226</v>
      </c>
      <c r="G2360" s="74" t="s">
        <v>1226</v>
      </c>
    </row>
    <row r="2361" spans="1:7" x14ac:dyDescent="0.2">
      <c r="A2361" s="39">
        <v>9581</v>
      </c>
      <c r="B2361" s="38" t="s">
        <v>633</v>
      </c>
      <c r="C2361" s="39" t="s">
        <v>1433</v>
      </c>
      <c r="D2361" s="74" t="s">
        <v>1227</v>
      </c>
      <c r="E2361" s="74" t="s">
        <v>1224</v>
      </c>
      <c r="F2361" s="74" t="s">
        <v>1226</v>
      </c>
      <c r="G2361" s="74" t="s">
        <v>1226</v>
      </c>
    </row>
    <row r="2362" spans="1:7" x14ac:dyDescent="0.2">
      <c r="A2362" s="39">
        <v>9582</v>
      </c>
      <c r="B2362" s="38" t="s">
        <v>36</v>
      </c>
      <c r="C2362" s="39" t="s">
        <v>1433</v>
      </c>
      <c r="D2362" s="74" t="s">
        <v>1227</v>
      </c>
      <c r="E2362" s="74" t="s">
        <v>1224</v>
      </c>
      <c r="F2362" s="74" t="s">
        <v>1226</v>
      </c>
      <c r="G2362" s="74" t="s">
        <v>1225</v>
      </c>
    </row>
    <row r="2363" spans="1:7" x14ac:dyDescent="0.2">
      <c r="A2363" s="39">
        <v>9583</v>
      </c>
      <c r="B2363" s="38" t="s">
        <v>37</v>
      </c>
      <c r="C2363" s="39" t="s">
        <v>1433</v>
      </c>
      <c r="D2363" s="74" t="s">
        <v>1227</v>
      </c>
      <c r="E2363" s="74" t="s">
        <v>1224</v>
      </c>
      <c r="F2363" s="74" t="s">
        <v>1226</v>
      </c>
      <c r="G2363" s="74" t="s">
        <v>1225</v>
      </c>
    </row>
    <row r="2364" spans="1:7" x14ac:dyDescent="0.2">
      <c r="A2364" s="39">
        <v>9584</v>
      </c>
      <c r="B2364" s="38" t="s">
        <v>38</v>
      </c>
      <c r="C2364" s="39" t="s">
        <v>1433</v>
      </c>
      <c r="D2364" s="74" t="s">
        <v>1227</v>
      </c>
      <c r="E2364" s="74" t="s">
        <v>1224</v>
      </c>
      <c r="F2364" s="74" t="s">
        <v>1226</v>
      </c>
      <c r="G2364" s="74" t="s">
        <v>1225</v>
      </c>
    </row>
    <row r="2365" spans="1:7" x14ac:dyDescent="0.2">
      <c r="A2365" s="39">
        <v>9585</v>
      </c>
      <c r="B2365" s="38" t="s">
        <v>39</v>
      </c>
      <c r="C2365" s="39" t="s">
        <v>1433</v>
      </c>
      <c r="D2365" s="74" t="s">
        <v>1227</v>
      </c>
      <c r="E2365" s="74" t="s">
        <v>1224</v>
      </c>
      <c r="F2365" s="74" t="s">
        <v>1226</v>
      </c>
      <c r="G2365" s="74" t="s">
        <v>1225</v>
      </c>
    </row>
    <row r="2366" spans="1:7" x14ac:dyDescent="0.2">
      <c r="A2366" s="39">
        <v>9586</v>
      </c>
      <c r="B2366" s="38" t="s">
        <v>40</v>
      </c>
      <c r="C2366" s="39" t="s">
        <v>1433</v>
      </c>
      <c r="D2366" s="74" t="s">
        <v>1227</v>
      </c>
      <c r="E2366" s="74" t="s">
        <v>1224</v>
      </c>
      <c r="F2366" s="74" t="s">
        <v>1226</v>
      </c>
      <c r="G2366" s="74" t="s">
        <v>1226</v>
      </c>
    </row>
    <row r="2367" spans="1:7" x14ac:dyDescent="0.2">
      <c r="A2367" s="39">
        <v>9587</v>
      </c>
      <c r="B2367" s="38" t="s">
        <v>41</v>
      </c>
      <c r="C2367" s="39" t="s">
        <v>1433</v>
      </c>
      <c r="D2367" s="74" t="s">
        <v>1227</v>
      </c>
      <c r="E2367" s="74" t="s">
        <v>1224</v>
      </c>
      <c r="F2367" s="74" t="s">
        <v>1226</v>
      </c>
      <c r="G2367" s="74" t="s">
        <v>1226</v>
      </c>
    </row>
    <row r="2368" spans="1:7" x14ac:dyDescent="0.2">
      <c r="A2368" s="39">
        <v>9601</v>
      </c>
      <c r="B2368" s="38" t="s">
        <v>42</v>
      </c>
      <c r="C2368" s="39" t="s">
        <v>1433</v>
      </c>
      <c r="D2368" s="74" t="s">
        <v>1227</v>
      </c>
      <c r="E2368" s="74" t="s">
        <v>1224</v>
      </c>
      <c r="F2368" s="74" t="s">
        <v>1226</v>
      </c>
      <c r="G2368" s="74" t="s">
        <v>1226</v>
      </c>
    </row>
    <row r="2369" spans="1:7" x14ac:dyDescent="0.2">
      <c r="A2369" s="39">
        <v>9602</v>
      </c>
      <c r="B2369" s="38" t="s">
        <v>43</v>
      </c>
      <c r="C2369" s="39" t="s">
        <v>1433</v>
      </c>
      <c r="D2369" s="74" t="s">
        <v>1227</v>
      </c>
      <c r="E2369" s="74" t="s">
        <v>1224</v>
      </c>
      <c r="F2369" s="74" t="s">
        <v>1226</v>
      </c>
      <c r="G2369" s="74" t="s">
        <v>1226</v>
      </c>
    </row>
    <row r="2370" spans="1:7" x14ac:dyDescent="0.2">
      <c r="A2370" s="39">
        <v>9611</v>
      </c>
      <c r="B2370" s="38" t="s">
        <v>44</v>
      </c>
      <c r="C2370" s="39" t="s">
        <v>1433</v>
      </c>
      <c r="D2370" s="74" t="s">
        <v>1227</v>
      </c>
      <c r="E2370" s="74" t="s">
        <v>1224</v>
      </c>
      <c r="F2370" s="74" t="s">
        <v>1226</v>
      </c>
      <c r="G2370" s="74" t="s">
        <v>1226</v>
      </c>
    </row>
    <row r="2371" spans="1:7" x14ac:dyDescent="0.2">
      <c r="A2371" s="39">
        <v>9612</v>
      </c>
      <c r="B2371" s="38" t="s">
        <v>45</v>
      </c>
      <c r="C2371" s="39" t="s">
        <v>1433</v>
      </c>
      <c r="D2371" s="74" t="s">
        <v>1227</v>
      </c>
      <c r="E2371" s="74" t="s">
        <v>1224</v>
      </c>
      <c r="F2371" s="74" t="s">
        <v>1226</v>
      </c>
      <c r="G2371" s="74" t="s">
        <v>1225</v>
      </c>
    </row>
    <row r="2372" spans="1:7" x14ac:dyDescent="0.2">
      <c r="A2372" s="39">
        <v>9613</v>
      </c>
      <c r="B2372" s="38" t="s">
        <v>46</v>
      </c>
      <c r="C2372" s="39" t="s">
        <v>1433</v>
      </c>
      <c r="D2372" s="74" t="s">
        <v>1227</v>
      </c>
      <c r="E2372" s="74" t="s">
        <v>1224</v>
      </c>
      <c r="F2372" s="74" t="s">
        <v>1226</v>
      </c>
      <c r="G2372" s="74" t="s">
        <v>1225</v>
      </c>
    </row>
    <row r="2373" spans="1:7" x14ac:dyDescent="0.2">
      <c r="A2373" s="39">
        <v>9614</v>
      </c>
      <c r="B2373" s="38" t="s">
        <v>47</v>
      </c>
      <c r="C2373" s="39" t="s">
        <v>1433</v>
      </c>
      <c r="D2373" s="74" t="s">
        <v>1227</v>
      </c>
      <c r="E2373" s="74" t="s">
        <v>1224</v>
      </c>
      <c r="F2373" s="74" t="s">
        <v>1226</v>
      </c>
      <c r="G2373" s="74" t="s">
        <v>1225</v>
      </c>
    </row>
    <row r="2374" spans="1:7" x14ac:dyDescent="0.2">
      <c r="A2374" s="39">
        <v>9615</v>
      </c>
      <c r="B2374" s="38" t="s">
        <v>48</v>
      </c>
      <c r="C2374" s="39" t="s">
        <v>1433</v>
      </c>
      <c r="D2374" s="74" t="s">
        <v>1227</v>
      </c>
      <c r="E2374" s="74" t="s">
        <v>1224</v>
      </c>
      <c r="F2374" s="74" t="s">
        <v>1226</v>
      </c>
      <c r="G2374" s="74" t="s">
        <v>1225</v>
      </c>
    </row>
    <row r="2375" spans="1:7" x14ac:dyDescent="0.2">
      <c r="A2375" s="39">
        <v>9620</v>
      </c>
      <c r="B2375" s="38" t="s">
        <v>49</v>
      </c>
      <c r="C2375" s="39" t="s">
        <v>1433</v>
      </c>
      <c r="D2375" s="74" t="s">
        <v>1227</v>
      </c>
      <c r="E2375" s="74" t="s">
        <v>1224</v>
      </c>
      <c r="F2375" s="74" t="s">
        <v>1226</v>
      </c>
      <c r="G2375" s="74" t="s">
        <v>1226</v>
      </c>
    </row>
    <row r="2376" spans="1:7" x14ac:dyDescent="0.2">
      <c r="A2376" s="39">
        <v>9622</v>
      </c>
      <c r="B2376" s="38" t="s">
        <v>50</v>
      </c>
      <c r="C2376" s="39" t="s">
        <v>1433</v>
      </c>
      <c r="D2376" s="74" t="s">
        <v>1227</v>
      </c>
      <c r="E2376" s="74" t="s">
        <v>1224</v>
      </c>
      <c r="F2376" s="74" t="s">
        <v>1226</v>
      </c>
      <c r="G2376" s="74" t="s">
        <v>1225</v>
      </c>
    </row>
    <row r="2377" spans="1:7" x14ac:dyDescent="0.2">
      <c r="A2377" s="39">
        <v>9623</v>
      </c>
      <c r="B2377" s="38" t="s">
        <v>51</v>
      </c>
      <c r="C2377" s="39" t="s">
        <v>1433</v>
      </c>
      <c r="D2377" s="74" t="s">
        <v>1227</v>
      </c>
      <c r="E2377" s="74" t="s">
        <v>1224</v>
      </c>
      <c r="F2377" s="74" t="s">
        <v>1226</v>
      </c>
      <c r="G2377" s="74" t="s">
        <v>1226</v>
      </c>
    </row>
    <row r="2378" spans="1:7" x14ac:dyDescent="0.2">
      <c r="A2378" s="39">
        <v>9624</v>
      </c>
      <c r="B2378" s="38" t="s">
        <v>2351</v>
      </c>
      <c r="C2378" s="39" t="s">
        <v>1433</v>
      </c>
      <c r="D2378" s="74" t="s">
        <v>1227</v>
      </c>
      <c r="E2378" s="74" t="s">
        <v>1224</v>
      </c>
      <c r="F2378" s="74" t="s">
        <v>1226</v>
      </c>
      <c r="G2378" s="74" t="s">
        <v>1225</v>
      </c>
    </row>
    <row r="2379" spans="1:7" x14ac:dyDescent="0.2">
      <c r="A2379" s="39">
        <v>9631</v>
      </c>
      <c r="B2379" s="38" t="s">
        <v>52</v>
      </c>
      <c r="C2379" s="39" t="s">
        <v>1433</v>
      </c>
      <c r="D2379" s="74" t="s">
        <v>1227</v>
      </c>
      <c r="E2379" s="74" t="s">
        <v>1224</v>
      </c>
      <c r="F2379" s="74" t="s">
        <v>1226</v>
      </c>
      <c r="G2379" s="74" t="s">
        <v>1225</v>
      </c>
    </row>
    <row r="2380" spans="1:7" x14ac:dyDescent="0.2">
      <c r="A2380" s="39">
        <v>9632</v>
      </c>
      <c r="B2380" s="38" t="s">
        <v>53</v>
      </c>
      <c r="C2380" s="39" t="s">
        <v>1433</v>
      </c>
      <c r="D2380" s="74" t="s">
        <v>1227</v>
      </c>
      <c r="E2380" s="74" t="s">
        <v>1224</v>
      </c>
      <c r="F2380" s="74" t="s">
        <v>1226</v>
      </c>
      <c r="G2380" s="74" t="s">
        <v>1226</v>
      </c>
    </row>
    <row r="2381" spans="1:7" x14ac:dyDescent="0.2">
      <c r="A2381" s="39">
        <v>9633</v>
      </c>
      <c r="B2381" s="38" t="s">
        <v>54</v>
      </c>
      <c r="C2381" s="39" t="s">
        <v>1433</v>
      </c>
      <c r="D2381" s="74" t="s">
        <v>1227</v>
      </c>
      <c r="E2381" s="74" t="s">
        <v>1224</v>
      </c>
      <c r="F2381" s="74" t="s">
        <v>1226</v>
      </c>
      <c r="G2381" s="74" t="s">
        <v>1225</v>
      </c>
    </row>
    <row r="2382" spans="1:7" x14ac:dyDescent="0.2">
      <c r="A2382" s="39">
        <v>9634</v>
      </c>
      <c r="B2382" s="38" t="s">
        <v>55</v>
      </c>
      <c r="C2382" s="39" t="s">
        <v>1433</v>
      </c>
      <c r="D2382" s="74" t="s">
        <v>1227</v>
      </c>
      <c r="E2382" s="74" t="s">
        <v>1224</v>
      </c>
      <c r="F2382" s="74" t="s">
        <v>1226</v>
      </c>
      <c r="G2382" s="74" t="s">
        <v>1225</v>
      </c>
    </row>
    <row r="2383" spans="1:7" x14ac:dyDescent="0.2">
      <c r="A2383" s="39">
        <v>9635</v>
      </c>
      <c r="B2383" s="38" t="s">
        <v>56</v>
      </c>
      <c r="C2383" s="39" t="s">
        <v>1433</v>
      </c>
      <c r="D2383" s="74" t="s">
        <v>1227</v>
      </c>
      <c r="E2383" s="74" t="s">
        <v>1224</v>
      </c>
      <c r="F2383" s="74" t="s">
        <v>1226</v>
      </c>
      <c r="G2383" s="74" t="s">
        <v>1225</v>
      </c>
    </row>
    <row r="2384" spans="1:7" x14ac:dyDescent="0.2">
      <c r="A2384" s="39">
        <v>9640</v>
      </c>
      <c r="B2384" s="38" t="s">
        <v>57</v>
      </c>
      <c r="C2384" s="39" t="s">
        <v>1433</v>
      </c>
      <c r="D2384" s="74" t="s">
        <v>1227</v>
      </c>
      <c r="E2384" s="74" t="s">
        <v>1224</v>
      </c>
      <c r="F2384" s="74" t="s">
        <v>1226</v>
      </c>
      <c r="G2384" s="74" t="s">
        <v>1226</v>
      </c>
    </row>
    <row r="2385" spans="1:7" x14ac:dyDescent="0.2">
      <c r="A2385" s="39">
        <v>9651</v>
      </c>
      <c r="B2385" s="38" t="s">
        <v>58</v>
      </c>
      <c r="C2385" s="39" t="s">
        <v>1433</v>
      </c>
      <c r="D2385" s="74" t="s">
        <v>1227</v>
      </c>
      <c r="E2385" s="74" t="s">
        <v>1224</v>
      </c>
      <c r="F2385" s="74" t="s">
        <v>1226</v>
      </c>
      <c r="G2385" s="74" t="s">
        <v>1225</v>
      </c>
    </row>
    <row r="2386" spans="1:7" x14ac:dyDescent="0.2">
      <c r="A2386" s="39">
        <v>9652</v>
      </c>
      <c r="B2386" s="38" t="s">
        <v>59</v>
      </c>
      <c r="C2386" s="39" t="s">
        <v>1433</v>
      </c>
      <c r="D2386" s="74" t="s">
        <v>1227</v>
      </c>
      <c r="E2386" s="74" t="s">
        <v>1224</v>
      </c>
      <c r="F2386" s="74" t="s">
        <v>1226</v>
      </c>
      <c r="G2386" s="74" t="s">
        <v>1225</v>
      </c>
    </row>
    <row r="2387" spans="1:7" x14ac:dyDescent="0.2">
      <c r="A2387" s="39">
        <v>9653</v>
      </c>
      <c r="B2387" s="38" t="s">
        <v>60</v>
      </c>
      <c r="C2387" s="39" t="s">
        <v>1433</v>
      </c>
      <c r="D2387" s="74" t="s">
        <v>1227</v>
      </c>
      <c r="E2387" s="74" t="s">
        <v>1224</v>
      </c>
      <c r="F2387" s="74" t="s">
        <v>1226</v>
      </c>
      <c r="G2387" s="74" t="s">
        <v>1225</v>
      </c>
    </row>
    <row r="2388" spans="1:7" x14ac:dyDescent="0.2">
      <c r="A2388" s="39">
        <v>9654</v>
      </c>
      <c r="B2388" s="38" t="s">
        <v>251</v>
      </c>
      <c r="C2388" s="39" t="s">
        <v>1433</v>
      </c>
      <c r="D2388" s="74" t="s">
        <v>1227</v>
      </c>
      <c r="E2388" s="74" t="s">
        <v>1224</v>
      </c>
      <c r="F2388" s="74" t="s">
        <v>1226</v>
      </c>
      <c r="G2388" s="74" t="s">
        <v>1226</v>
      </c>
    </row>
    <row r="2389" spans="1:7" x14ac:dyDescent="0.2">
      <c r="A2389" s="39">
        <v>9655</v>
      </c>
      <c r="B2389" s="38" t="s">
        <v>61</v>
      </c>
      <c r="C2389" s="39" t="s">
        <v>1433</v>
      </c>
      <c r="D2389" s="74" t="s">
        <v>1227</v>
      </c>
      <c r="E2389" s="74" t="s">
        <v>1224</v>
      </c>
      <c r="F2389" s="74" t="s">
        <v>1226</v>
      </c>
      <c r="G2389" s="74" t="s">
        <v>1225</v>
      </c>
    </row>
    <row r="2390" spans="1:7" x14ac:dyDescent="0.2">
      <c r="A2390" s="39">
        <v>9701</v>
      </c>
      <c r="B2390" s="38" t="s">
        <v>62</v>
      </c>
      <c r="C2390" s="39" t="s">
        <v>1433</v>
      </c>
      <c r="D2390" s="74" t="s">
        <v>1227</v>
      </c>
      <c r="E2390" s="74" t="s">
        <v>1224</v>
      </c>
      <c r="F2390" s="74" t="s">
        <v>1226</v>
      </c>
      <c r="G2390" s="74" t="s">
        <v>1225</v>
      </c>
    </row>
    <row r="2391" spans="1:7" x14ac:dyDescent="0.2">
      <c r="A2391" s="39">
        <v>9702</v>
      </c>
      <c r="B2391" s="38" t="s">
        <v>63</v>
      </c>
      <c r="C2391" s="39" t="s">
        <v>1433</v>
      </c>
      <c r="D2391" s="74" t="s">
        <v>1227</v>
      </c>
      <c r="E2391" s="74" t="s">
        <v>1224</v>
      </c>
      <c r="F2391" s="74" t="s">
        <v>1226</v>
      </c>
      <c r="G2391" s="74" t="s">
        <v>1226</v>
      </c>
    </row>
    <row r="2392" spans="1:7" x14ac:dyDescent="0.2">
      <c r="A2392" s="39">
        <v>9710</v>
      </c>
      <c r="B2392" s="38" t="s">
        <v>64</v>
      </c>
      <c r="C2392" s="39" t="s">
        <v>1433</v>
      </c>
      <c r="D2392" s="74" t="s">
        <v>1227</v>
      </c>
      <c r="E2392" s="74" t="s">
        <v>1224</v>
      </c>
      <c r="F2392" s="74" t="s">
        <v>1226</v>
      </c>
      <c r="G2392" s="74" t="s">
        <v>1226</v>
      </c>
    </row>
    <row r="2393" spans="1:7" x14ac:dyDescent="0.2">
      <c r="A2393" s="39">
        <v>9711</v>
      </c>
      <c r="B2393" s="38" t="s">
        <v>65</v>
      </c>
      <c r="C2393" s="39" t="s">
        <v>1433</v>
      </c>
      <c r="D2393" s="74" t="s">
        <v>1227</v>
      </c>
      <c r="E2393" s="74" t="s">
        <v>1224</v>
      </c>
      <c r="F2393" s="74" t="s">
        <v>1226</v>
      </c>
      <c r="G2393" s="74" t="s">
        <v>1225</v>
      </c>
    </row>
    <row r="2394" spans="1:7" x14ac:dyDescent="0.2">
      <c r="A2394" s="39">
        <v>9712</v>
      </c>
      <c r="B2394" s="38" t="s">
        <v>66</v>
      </c>
      <c r="C2394" s="39" t="s">
        <v>1433</v>
      </c>
      <c r="D2394" s="74" t="s">
        <v>1227</v>
      </c>
      <c r="E2394" s="74" t="s">
        <v>1224</v>
      </c>
      <c r="F2394" s="74" t="s">
        <v>1226</v>
      </c>
      <c r="G2394" s="74" t="s">
        <v>1225</v>
      </c>
    </row>
    <row r="2395" spans="1:7" x14ac:dyDescent="0.2">
      <c r="A2395" s="39">
        <v>9713</v>
      </c>
      <c r="B2395" s="38" t="s">
        <v>67</v>
      </c>
      <c r="C2395" s="39" t="s">
        <v>1433</v>
      </c>
      <c r="D2395" s="74" t="s">
        <v>1227</v>
      </c>
      <c r="E2395" s="74" t="s">
        <v>1224</v>
      </c>
      <c r="F2395" s="74" t="s">
        <v>1226</v>
      </c>
      <c r="G2395" s="74" t="s">
        <v>1226</v>
      </c>
    </row>
    <row r="2396" spans="1:7" x14ac:dyDescent="0.2">
      <c r="A2396" s="39">
        <v>9714</v>
      </c>
      <c r="B2396" s="38" t="s">
        <v>68</v>
      </c>
      <c r="C2396" s="39" t="s">
        <v>1433</v>
      </c>
      <c r="D2396" s="74" t="s">
        <v>1227</v>
      </c>
      <c r="E2396" s="74" t="s">
        <v>1224</v>
      </c>
      <c r="F2396" s="74" t="s">
        <v>1226</v>
      </c>
      <c r="G2396" s="74" t="s">
        <v>1225</v>
      </c>
    </row>
    <row r="2397" spans="1:7" x14ac:dyDescent="0.2">
      <c r="A2397" s="39">
        <v>9721</v>
      </c>
      <c r="B2397" s="38" t="s">
        <v>69</v>
      </c>
      <c r="C2397" s="39" t="s">
        <v>1433</v>
      </c>
      <c r="D2397" s="74" t="s">
        <v>1227</v>
      </c>
      <c r="E2397" s="74" t="s">
        <v>1224</v>
      </c>
      <c r="F2397" s="74" t="s">
        <v>1226</v>
      </c>
      <c r="G2397" s="74" t="s">
        <v>1226</v>
      </c>
    </row>
    <row r="2398" spans="1:7" x14ac:dyDescent="0.2">
      <c r="A2398" s="39">
        <v>9722</v>
      </c>
      <c r="B2398" s="38" t="s">
        <v>70</v>
      </c>
      <c r="C2398" s="39" t="s">
        <v>1433</v>
      </c>
      <c r="D2398" s="74" t="s">
        <v>1227</v>
      </c>
      <c r="E2398" s="74" t="s">
        <v>1224</v>
      </c>
      <c r="F2398" s="74" t="s">
        <v>1226</v>
      </c>
      <c r="G2398" s="74" t="s">
        <v>1225</v>
      </c>
    </row>
    <row r="2399" spans="1:7" x14ac:dyDescent="0.2">
      <c r="A2399" s="39">
        <v>9751</v>
      </c>
      <c r="B2399" s="38" t="s">
        <v>71</v>
      </c>
      <c r="C2399" s="39" t="s">
        <v>1433</v>
      </c>
      <c r="D2399" s="74" t="s">
        <v>1227</v>
      </c>
      <c r="E2399" s="74" t="s">
        <v>1224</v>
      </c>
      <c r="F2399" s="74" t="s">
        <v>1226</v>
      </c>
      <c r="G2399" s="74" t="s">
        <v>1225</v>
      </c>
    </row>
    <row r="2400" spans="1:7" x14ac:dyDescent="0.2">
      <c r="A2400" s="39">
        <v>9753</v>
      </c>
      <c r="B2400" s="38" t="s">
        <v>72</v>
      </c>
      <c r="C2400" s="39" t="s">
        <v>1433</v>
      </c>
      <c r="D2400" s="74" t="s">
        <v>1227</v>
      </c>
      <c r="E2400" s="74" t="s">
        <v>1224</v>
      </c>
      <c r="F2400" s="74" t="s">
        <v>1226</v>
      </c>
      <c r="G2400" s="74" t="s">
        <v>1225</v>
      </c>
    </row>
    <row r="2401" spans="1:7" x14ac:dyDescent="0.2">
      <c r="A2401" s="39">
        <v>9754</v>
      </c>
      <c r="B2401" s="38" t="s">
        <v>73</v>
      </c>
      <c r="C2401" s="39" t="s">
        <v>1433</v>
      </c>
      <c r="D2401" s="74" t="s">
        <v>1227</v>
      </c>
      <c r="E2401" s="74" t="s">
        <v>1224</v>
      </c>
      <c r="F2401" s="74" t="s">
        <v>1226</v>
      </c>
      <c r="G2401" s="74" t="s">
        <v>1226</v>
      </c>
    </row>
    <row r="2402" spans="1:7" x14ac:dyDescent="0.2">
      <c r="A2402" s="39">
        <v>9761</v>
      </c>
      <c r="B2402" s="38" t="s">
        <v>74</v>
      </c>
      <c r="C2402" s="39" t="s">
        <v>1433</v>
      </c>
      <c r="D2402" s="74" t="s">
        <v>1227</v>
      </c>
      <c r="E2402" s="74" t="s">
        <v>1224</v>
      </c>
      <c r="F2402" s="74" t="s">
        <v>1226</v>
      </c>
      <c r="G2402" s="74" t="s">
        <v>1226</v>
      </c>
    </row>
    <row r="2403" spans="1:7" x14ac:dyDescent="0.2">
      <c r="A2403" s="39">
        <v>9762</v>
      </c>
      <c r="B2403" s="38" t="s">
        <v>75</v>
      </c>
      <c r="C2403" s="39" t="s">
        <v>1433</v>
      </c>
      <c r="D2403" s="74" t="s">
        <v>1227</v>
      </c>
      <c r="E2403" s="74" t="s">
        <v>1224</v>
      </c>
      <c r="F2403" s="74" t="s">
        <v>1226</v>
      </c>
      <c r="G2403" s="74" t="s">
        <v>1226</v>
      </c>
    </row>
    <row r="2404" spans="1:7" x14ac:dyDescent="0.2">
      <c r="A2404" s="39">
        <v>9771</v>
      </c>
      <c r="B2404" s="38" t="s">
        <v>76</v>
      </c>
      <c r="C2404" s="39" t="s">
        <v>1433</v>
      </c>
      <c r="D2404" s="74" t="s">
        <v>1227</v>
      </c>
      <c r="E2404" s="74" t="s">
        <v>1224</v>
      </c>
      <c r="F2404" s="74" t="s">
        <v>1226</v>
      </c>
      <c r="G2404" s="74" t="s">
        <v>1225</v>
      </c>
    </row>
    <row r="2405" spans="1:7" x14ac:dyDescent="0.2">
      <c r="A2405" s="39">
        <v>9772</v>
      </c>
      <c r="B2405" s="38" t="s">
        <v>56</v>
      </c>
      <c r="C2405" s="39" t="s">
        <v>1433</v>
      </c>
      <c r="D2405" s="74" t="s">
        <v>1227</v>
      </c>
      <c r="E2405" s="74" t="s">
        <v>1224</v>
      </c>
      <c r="F2405" s="74" t="s">
        <v>1226</v>
      </c>
      <c r="G2405" s="74" t="s">
        <v>1226</v>
      </c>
    </row>
    <row r="2406" spans="1:7" x14ac:dyDescent="0.2">
      <c r="A2406" s="39">
        <v>9773</v>
      </c>
      <c r="B2406" s="38" t="s">
        <v>77</v>
      </c>
      <c r="C2406" s="39" t="s">
        <v>1433</v>
      </c>
      <c r="D2406" s="74" t="s">
        <v>1227</v>
      </c>
      <c r="E2406" s="74" t="s">
        <v>1224</v>
      </c>
      <c r="F2406" s="74" t="s">
        <v>1226</v>
      </c>
      <c r="G2406" s="74" t="s">
        <v>1225</v>
      </c>
    </row>
    <row r="2407" spans="1:7" x14ac:dyDescent="0.2">
      <c r="A2407" s="39">
        <v>9781</v>
      </c>
      <c r="B2407" s="38" t="s">
        <v>78</v>
      </c>
      <c r="C2407" s="39" t="s">
        <v>1433</v>
      </c>
      <c r="D2407" s="74" t="s">
        <v>1227</v>
      </c>
      <c r="E2407" s="74" t="s">
        <v>1224</v>
      </c>
      <c r="F2407" s="74" t="s">
        <v>1226</v>
      </c>
      <c r="G2407" s="74" t="s">
        <v>1226</v>
      </c>
    </row>
    <row r="2408" spans="1:7" x14ac:dyDescent="0.2">
      <c r="A2408" s="39">
        <v>9782</v>
      </c>
      <c r="B2408" s="38" t="s">
        <v>79</v>
      </c>
      <c r="C2408" s="39" t="s">
        <v>839</v>
      </c>
      <c r="D2408" s="74" t="s">
        <v>1227</v>
      </c>
      <c r="E2408" s="74" t="s">
        <v>1224</v>
      </c>
      <c r="F2408" s="74" t="s">
        <v>1226</v>
      </c>
      <c r="G2408" s="74" t="s">
        <v>1225</v>
      </c>
    </row>
    <row r="2409" spans="1:7" x14ac:dyDescent="0.2">
      <c r="A2409" s="39">
        <v>9800</v>
      </c>
      <c r="B2409" s="38" t="s">
        <v>1527</v>
      </c>
      <c r="C2409" s="39" t="s">
        <v>1433</v>
      </c>
      <c r="D2409" s="74" t="s">
        <v>1227</v>
      </c>
      <c r="E2409" s="74" t="s">
        <v>1224</v>
      </c>
      <c r="F2409" s="74" t="s">
        <v>1226</v>
      </c>
      <c r="G2409" s="74" t="s">
        <v>1226</v>
      </c>
    </row>
    <row r="2410" spans="1:7" x14ac:dyDescent="0.2">
      <c r="A2410" s="39">
        <v>9802</v>
      </c>
      <c r="B2410" s="38" t="s">
        <v>1527</v>
      </c>
      <c r="C2410" s="39" t="s">
        <v>1433</v>
      </c>
      <c r="D2410" s="74" t="s">
        <v>1229</v>
      </c>
      <c r="E2410" s="74" t="s">
        <v>1224</v>
      </c>
      <c r="F2410" s="74" t="s">
        <v>1225</v>
      </c>
      <c r="G2410" s="74" t="s">
        <v>1226</v>
      </c>
    </row>
    <row r="2411" spans="1:7" x14ac:dyDescent="0.2">
      <c r="A2411" s="39">
        <v>9803</v>
      </c>
      <c r="B2411" s="38" t="s">
        <v>1527</v>
      </c>
      <c r="C2411" s="39" t="s">
        <v>1433</v>
      </c>
      <c r="D2411" s="74" t="s">
        <v>1229</v>
      </c>
      <c r="E2411" s="74" t="s">
        <v>1224</v>
      </c>
      <c r="F2411" s="74" t="s">
        <v>1225</v>
      </c>
      <c r="G2411" s="74" t="s">
        <v>1226</v>
      </c>
    </row>
    <row r="2412" spans="1:7" x14ac:dyDescent="0.2">
      <c r="A2412" s="39">
        <v>9805</v>
      </c>
      <c r="B2412" s="38" t="s">
        <v>1528</v>
      </c>
      <c r="C2412" s="39" t="s">
        <v>1433</v>
      </c>
      <c r="D2412" s="74" t="s">
        <v>1227</v>
      </c>
      <c r="E2412" s="74" t="s">
        <v>1224</v>
      </c>
      <c r="F2412" s="74" t="s">
        <v>1226</v>
      </c>
      <c r="G2412" s="74" t="s">
        <v>1225</v>
      </c>
    </row>
    <row r="2413" spans="1:7" x14ac:dyDescent="0.2">
      <c r="A2413" s="39">
        <v>9811</v>
      </c>
      <c r="B2413" s="38" t="s">
        <v>1529</v>
      </c>
      <c r="C2413" s="39" t="s">
        <v>1433</v>
      </c>
      <c r="D2413" s="74" t="s">
        <v>1227</v>
      </c>
      <c r="E2413" s="74" t="s">
        <v>1224</v>
      </c>
      <c r="F2413" s="74" t="s">
        <v>1226</v>
      </c>
      <c r="G2413" s="74" t="s">
        <v>1225</v>
      </c>
    </row>
    <row r="2414" spans="1:7" x14ac:dyDescent="0.2">
      <c r="A2414" s="39">
        <v>9812</v>
      </c>
      <c r="B2414" s="38" t="s">
        <v>1530</v>
      </c>
      <c r="C2414" s="39" t="s">
        <v>1433</v>
      </c>
      <c r="D2414" s="74" t="s">
        <v>1227</v>
      </c>
      <c r="E2414" s="74" t="s">
        <v>1224</v>
      </c>
      <c r="F2414" s="74" t="s">
        <v>1226</v>
      </c>
      <c r="G2414" s="74" t="s">
        <v>1225</v>
      </c>
    </row>
    <row r="2415" spans="1:7" x14ac:dyDescent="0.2">
      <c r="A2415" s="39">
        <v>9813</v>
      </c>
      <c r="B2415" s="38" t="s">
        <v>1531</v>
      </c>
      <c r="C2415" s="39" t="s">
        <v>1433</v>
      </c>
      <c r="D2415" s="74" t="s">
        <v>1227</v>
      </c>
      <c r="E2415" s="74" t="s">
        <v>1224</v>
      </c>
      <c r="F2415" s="74" t="s">
        <v>1226</v>
      </c>
      <c r="G2415" s="74" t="s">
        <v>1226</v>
      </c>
    </row>
    <row r="2416" spans="1:7" x14ac:dyDescent="0.2">
      <c r="A2416" s="39">
        <v>9814</v>
      </c>
      <c r="B2416" s="38" t="s">
        <v>530</v>
      </c>
      <c r="C2416" s="39" t="s">
        <v>1433</v>
      </c>
      <c r="D2416" s="74" t="s">
        <v>1227</v>
      </c>
      <c r="E2416" s="74" t="s">
        <v>1224</v>
      </c>
      <c r="F2416" s="74" t="s">
        <v>1226</v>
      </c>
      <c r="G2416" s="74" t="s">
        <v>1225</v>
      </c>
    </row>
    <row r="2417" spans="1:7" x14ac:dyDescent="0.2">
      <c r="A2417" s="39">
        <v>9815</v>
      </c>
      <c r="B2417" s="38" t="s">
        <v>1532</v>
      </c>
      <c r="C2417" s="39" t="s">
        <v>1433</v>
      </c>
      <c r="D2417" s="74" t="s">
        <v>1227</v>
      </c>
      <c r="E2417" s="74" t="s">
        <v>1224</v>
      </c>
      <c r="F2417" s="74" t="s">
        <v>1226</v>
      </c>
      <c r="G2417" s="74" t="s">
        <v>1226</v>
      </c>
    </row>
    <row r="2418" spans="1:7" x14ac:dyDescent="0.2">
      <c r="A2418" s="39">
        <v>9816</v>
      </c>
      <c r="B2418" s="38" t="s">
        <v>1533</v>
      </c>
      <c r="C2418" s="39" t="s">
        <v>1433</v>
      </c>
      <c r="D2418" s="74" t="s">
        <v>1227</v>
      </c>
      <c r="E2418" s="74" t="s">
        <v>1224</v>
      </c>
      <c r="F2418" s="74" t="s">
        <v>1226</v>
      </c>
      <c r="G2418" s="74" t="s">
        <v>1225</v>
      </c>
    </row>
    <row r="2419" spans="1:7" x14ac:dyDescent="0.2">
      <c r="A2419" s="39">
        <v>9821</v>
      </c>
      <c r="B2419" s="38" t="s">
        <v>86</v>
      </c>
      <c r="C2419" s="39" t="s">
        <v>1433</v>
      </c>
      <c r="D2419" s="74" t="s">
        <v>1227</v>
      </c>
      <c r="E2419" s="74" t="s">
        <v>1224</v>
      </c>
      <c r="F2419" s="74" t="s">
        <v>1226</v>
      </c>
      <c r="G2419" s="74" t="s">
        <v>1226</v>
      </c>
    </row>
    <row r="2420" spans="1:7" x14ac:dyDescent="0.2">
      <c r="A2420" s="39">
        <v>9822</v>
      </c>
      <c r="B2420" s="38" t="s">
        <v>1534</v>
      </c>
      <c r="C2420" s="39" t="s">
        <v>1433</v>
      </c>
      <c r="D2420" s="74" t="s">
        <v>1227</v>
      </c>
      <c r="E2420" s="74" t="s">
        <v>1224</v>
      </c>
      <c r="F2420" s="74" t="s">
        <v>1226</v>
      </c>
      <c r="G2420" s="74" t="s">
        <v>1225</v>
      </c>
    </row>
    <row r="2421" spans="1:7" x14ac:dyDescent="0.2">
      <c r="A2421" s="39">
        <v>9831</v>
      </c>
      <c r="B2421" s="38" t="s">
        <v>1535</v>
      </c>
      <c r="C2421" s="39" t="s">
        <v>1433</v>
      </c>
      <c r="D2421" s="74" t="s">
        <v>1227</v>
      </c>
      <c r="E2421" s="74" t="s">
        <v>1224</v>
      </c>
      <c r="F2421" s="74" t="s">
        <v>1226</v>
      </c>
      <c r="G2421" s="74" t="s">
        <v>1225</v>
      </c>
    </row>
    <row r="2422" spans="1:7" x14ac:dyDescent="0.2">
      <c r="A2422" s="39">
        <v>9832</v>
      </c>
      <c r="B2422" s="38" t="s">
        <v>1536</v>
      </c>
      <c r="C2422" s="39" t="s">
        <v>1433</v>
      </c>
      <c r="D2422" s="74" t="s">
        <v>1227</v>
      </c>
      <c r="E2422" s="74" t="s">
        <v>1224</v>
      </c>
      <c r="F2422" s="74" t="s">
        <v>1226</v>
      </c>
      <c r="G2422" s="74" t="s">
        <v>1226</v>
      </c>
    </row>
    <row r="2423" spans="1:7" x14ac:dyDescent="0.2">
      <c r="A2423" s="39">
        <v>9833</v>
      </c>
      <c r="B2423" s="38" t="s">
        <v>1537</v>
      </c>
      <c r="C2423" s="39" t="s">
        <v>1433</v>
      </c>
      <c r="D2423" s="74" t="s">
        <v>1227</v>
      </c>
      <c r="E2423" s="74" t="s">
        <v>1224</v>
      </c>
      <c r="F2423" s="74" t="s">
        <v>1226</v>
      </c>
      <c r="G2423" s="74" t="s">
        <v>1225</v>
      </c>
    </row>
    <row r="2424" spans="1:7" x14ac:dyDescent="0.2">
      <c r="A2424" s="39">
        <v>9841</v>
      </c>
      <c r="B2424" s="38" t="s">
        <v>1538</v>
      </c>
      <c r="C2424" s="39" t="s">
        <v>1433</v>
      </c>
      <c r="D2424" s="74" t="s">
        <v>1227</v>
      </c>
      <c r="E2424" s="74" t="s">
        <v>1224</v>
      </c>
      <c r="F2424" s="74" t="s">
        <v>1226</v>
      </c>
      <c r="G2424" s="74" t="s">
        <v>1226</v>
      </c>
    </row>
    <row r="2425" spans="1:7" x14ac:dyDescent="0.2">
      <c r="A2425" s="39">
        <v>9842</v>
      </c>
      <c r="B2425" s="38" t="s">
        <v>1539</v>
      </c>
      <c r="C2425" s="39" t="s">
        <v>1433</v>
      </c>
      <c r="D2425" s="74" t="s">
        <v>1227</v>
      </c>
      <c r="E2425" s="74" t="s">
        <v>1224</v>
      </c>
      <c r="F2425" s="74" t="s">
        <v>1226</v>
      </c>
      <c r="G2425" s="74" t="s">
        <v>1225</v>
      </c>
    </row>
    <row r="2426" spans="1:7" x14ac:dyDescent="0.2">
      <c r="A2426" s="39">
        <v>9843</v>
      </c>
      <c r="B2426" s="38" t="s">
        <v>1540</v>
      </c>
      <c r="C2426" s="39" t="s">
        <v>1433</v>
      </c>
      <c r="D2426" s="74" t="s">
        <v>1227</v>
      </c>
      <c r="E2426" s="74" t="s">
        <v>1224</v>
      </c>
      <c r="F2426" s="74" t="s">
        <v>1226</v>
      </c>
      <c r="G2426" s="74" t="s">
        <v>1226</v>
      </c>
    </row>
    <row r="2427" spans="1:7" x14ac:dyDescent="0.2">
      <c r="A2427" s="39">
        <v>9844</v>
      </c>
      <c r="B2427" s="38" t="s">
        <v>1541</v>
      </c>
      <c r="C2427" s="39" t="s">
        <v>1433</v>
      </c>
      <c r="D2427" s="74" t="s">
        <v>1227</v>
      </c>
      <c r="E2427" s="74" t="s">
        <v>1224</v>
      </c>
      <c r="F2427" s="74" t="s">
        <v>1226</v>
      </c>
      <c r="G2427" s="74" t="s">
        <v>1225</v>
      </c>
    </row>
    <row r="2428" spans="1:7" x14ac:dyDescent="0.2">
      <c r="A2428" s="39">
        <v>9851</v>
      </c>
      <c r="B2428" s="38" t="s">
        <v>1542</v>
      </c>
      <c r="C2428" s="39" t="s">
        <v>1433</v>
      </c>
      <c r="D2428" s="74" t="s">
        <v>1227</v>
      </c>
      <c r="E2428" s="74" t="s">
        <v>1224</v>
      </c>
      <c r="F2428" s="74" t="s">
        <v>1226</v>
      </c>
      <c r="G2428" s="74" t="s">
        <v>1225</v>
      </c>
    </row>
    <row r="2429" spans="1:7" x14ac:dyDescent="0.2">
      <c r="A2429" s="39">
        <v>9852</v>
      </c>
      <c r="B2429" s="38" t="s">
        <v>1543</v>
      </c>
      <c r="C2429" s="39" t="s">
        <v>1433</v>
      </c>
      <c r="D2429" s="74" t="s">
        <v>1227</v>
      </c>
      <c r="E2429" s="74" t="s">
        <v>1224</v>
      </c>
      <c r="F2429" s="74" t="s">
        <v>1226</v>
      </c>
      <c r="G2429" s="74" t="s">
        <v>1225</v>
      </c>
    </row>
    <row r="2430" spans="1:7" x14ac:dyDescent="0.2">
      <c r="A2430" s="39">
        <v>9853</v>
      </c>
      <c r="B2430" s="38" t="s">
        <v>623</v>
      </c>
      <c r="C2430" s="39" t="s">
        <v>1433</v>
      </c>
      <c r="D2430" s="74" t="s">
        <v>1227</v>
      </c>
      <c r="E2430" s="74" t="s">
        <v>1224</v>
      </c>
      <c r="F2430" s="74" t="s">
        <v>1226</v>
      </c>
      <c r="G2430" s="74" t="s">
        <v>1226</v>
      </c>
    </row>
    <row r="2431" spans="1:7" x14ac:dyDescent="0.2">
      <c r="A2431" s="39">
        <v>9854</v>
      </c>
      <c r="B2431" s="38" t="s">
        <v>1544</v>
      </c>
      <c r="C2431" s="39" t="s">
        <v>1433</v>
      </c>
      <c r="D2431" s="74" t="s">
        <v>1227</v>
      </c>
      <c r="E2431" s="74" t="s">
        <v>1224</v>
      </c>
      <c r="F2431" s="74" t="s">
        <v>1226</v>
      </c>
      <c r="G2431" s="74" t="s">
        <v>1225</v>
      </c>
    </row>
    <row r="2432" spans="1:7" x14ac:dyDescent="0.2">
      <c r="A2432" s="39">
        <v>9861</v>
      </c>
      <c r="B2432" s="38" t="s">
        <v>1545</v>
      </c>
      <c r="C2432" s="39" t="s">
        <v>1433</v>
      </c>
      <c r="D2432" s="74" t="s">
        <v>1227</v>
      </c>
      <c r="E2432" s="74" t="s">
        <v>1224</v>
      </c>
      <c r="F2432" s="74" t="s">
        <v>1226</v>
      </c>
      <c r="G2432" s="74" t="s">
        <v>1225</v>
      </c>
    </row>
    <row r="2433" spans="1:7" x14ac:dyDescent="0.2">
      <c r="A2433" s="39">
        <v>9862</v>
      </c>
      <c r="B2433" s="38" t="s">
        <v>1546</v>
      </c>
      <c r="C2433" s="39" t="s">
        <v>1433</v>
      </c>
      <c r="D2433" s="74" t="s">
        <v>1227</v>
      </c>
      <c r="E2433" s="74" t="s">
        <v>1224</v>
      </c>
      <c r="F2433" s="74" t="s">
        <v>1226</v>
      </c>
      <c r="G2433" s="74" t="s">
        <v>1225</v>
      </c>
    </row>
    <row r="2434" spans="1:7" x14ac:dyDescent="0.2">
      <c r="A2434" s="39">
        <v>9863</v>
      </c>
      <c r="B2434" s="38" t="s">
        <v>1547</v>
      </c>
      <c r="C2434" s="39" t="s">
        <v>1433</v>
      </c>
      <c r="D2434" s="74" t="s">
        <v>1227</v>
      </c>
      <c r="E2434" s="74" t="s">
        <v>1224</v>
      </c>
      <c r="F2434" s="74" t="s">
        <v>1226</v>
      </c>
      <c r="G2434" s="74" t="s">
        <v>1226</v>
      </c>
    </row>
    <row r="2435" spans="1:7" x14ac:dyDescent="0.2">
      <c r="A2435" s="39">
        <v>9871</v>
      </c>
      <c r="B2435" s="38" t="s">
        <v>1548</v>
      </c>
      <c r="C2435" s="39" t="s">
        <v>1433</v>
      </c>
      <c r="D2435" s="74" t="s">
        <v>1227</v>
      </c>
      <c r="E2435" s="74" t="s">
        <v>1224</v>
      </c>
      <c r="F2435" s="74" t="s">
        <v>1226</v>
      </c>
      <c r="G2435" s="74" t="s">
        <v>1226</v>
      </c>
    </row>
    <row r="2436" spans="1:7" x14ac:dyDescent="0.2">
      <c r="A2436" s="39">
        <v>9872</v>
      </c>
      <c r="B2436" s="38" t="s">
        <v>206</v>
      </c>
      <c r="C2436" s="39" t="s">
        <v>1433</v>
      </c>
      <c r="D2436" s="74" t="s">
        <v>1227</v>
      </c>
      <c r="E2436" s="74" t="s">
        <v>1224</v>
      </c>
      <c r="F2436" s="74" t="s">
        <v>1226</v>
      </c>
      <c r="G2436" s="74" t="s">
        <v>1226</v>
      </c>
    </row>
    <row r="2437" spans="1:7" x14ac:dyDescent="0.2">
      <c r="A2437" s="39">
        <v>9873</v>
      </c>
      <c r="B2437" s="38" t="s">
        <v>1549</v>
      </c>
      <c r="C2437" s="39" t="s">
        <v>1433</v>
      </c>
      <c r="D2437" s="74" t="s">
        <v>1227</v>
      </c>
      <c r="E2437" s="74" t="s">
        <v>1224</v>
      </c>
      <c r="F2437" s="74" t="s">
        <v>1226</v>
      </c>
      <c r="G2437" s="74" t="s">
        <v>1225</v>
      </c>
    </row>
    <row r="2438" spans="1:7" x14ac:dyDescent="0.2">
      <c r="A2438" s="39">
        <v>9900</v>
      </c>
      <c r="B2438" s="38" t="s">
        <v>198</v>
      </c>
      <c r="C2438" s="39" t="s">
        <v>839</v>
      </c>
      <c r="D2438" s="74" t="s">
        <v>1227</v>
      </c>
      <c r="E2438" s="74" t="s">
        <v>1224</v>
      </c>
      <c r="F2438" s="74" t="s">
        <v>1226</v>
      </c>
      <c r="G2438" s="74" t="s">
        <v>1226</v>
      </c>
    </row>
    <row r="2439" spans="1:7" x14ac:dyDescent="0.2">
      <c r="A2439" s="39">
        <v>9904</v>
      </c>
      <c r="B2439" s="38" t="s">
        <v>1550</v>
      </c>
      <c r="C2439" s="39" t="s">
        <v>839</v>
      </c>
      <c r="D2439" s="74" t="s">
        <v>1227</v>
      </c>
      <c r="E2439" s="74" t="s">
        <v>1224</v>
      </c>
      <c r="F2439" s="74" t="s">
        <v>1226</v>
      </c>
      <c r="G2439" s="74" t="s">
        <v>1225</v>
      </c>
    </row>
    <row r="2440" spans="1:7" x14ac:dyDescent="0.2">
      <c r="A2440" s="39">
        <v>9911</v>
      </c>
      <c r="B2440" s="38" t="s">
        <v>1551</v>
      </c>
      <c r="C2440" s="39" t="s">
        <v>839</v>
      </c>
      <c r="D2440" s="74" t="s">
        <v>1227</v>
      </c>
      <c r="E2440" s="74" t="s">
        <v>1224</v>
      </c>
      <c r="F2440" s="74" t="s">
        <v>1226</v>
      </c>
      <c r="G2440" s="74" t="s">
        <v>1226</v>
      </c>
    </row>
    <row r="2441" spans="1:7" x14ac:dyDescent="0.2">
      <c r="A2441" s="39">
        <v>9912</v>
      </c>
      <c r="B2441" s="38" t="s">
        <v>1552</v>
      </c>
      <c r="C2441" s="39" t="s">
        <v>839</v>
      </c>
      <c r="D2441" s="74" t="s">
        <v>1227</v>
      </c>
      <c r="E2441" s="74" t="s">
        <v>1224</v>
      </c>
      <c r="F2441" s="74" t="s">
        <v>1226</v>
      </c>
      <c r="G2441" s="74" t="s">
        <v>1225</v>
      </c>
    </row>
    <row r="2442" spans="1:7" x14ac:dyDescent="0.2">
      <c r="A2442" s="39">
        <v>9913</v>
      </c>
      <c r="B2442" s="38" t="s">
        <v>1553</v>
      </c>
      <c r="C2442" s="39" t="s">
        <v>839</v>
      </c>
      <c r="D2442" s="74" t="s">
        <v>1227</v>
      </c>
      <c r="E2442" s="74" t="s">
        <v>1224</v>
      </c>
      <c r="F2442" s="74" t="s">
        <v>1226</v>
      </c>
      <c r="G2442" s="74" t="s">
        <v>1226</v>
      </c>
    </row>
    <row r="2443" spans="1:7" x14ac:dyDescent="0.2">
      <c r="A2443" s="39">
        <v>9920</v>
      </c>
      <c r="B2443" s="38" t="s">
        <v>1554</v>
      </c>
      <c r="C2443" s="39" t="s">
        <v>839</v>
      </c>
      <c r="D2443" s="74" t="s">
        <v>1227</v>
      </c>
      <c r="E2443" s="74" t="s">
        <v>1224</v>
      </c>
      <c r="F2443" s="74" t="s">
        <v>1226</v>
      </c>
      <c r="G2443" s="74" t="s">
        <v>1226</v>
      </c>
    </row>
    <row r="2444" spans="1:7" x14ac:dyDescent="0.2">
      <c r="A2444" s="39">
        <v>9931</v>
      </c>
      <c r="B2444" s="38" t="s">
        <v>1555</v>
      </c>
      <c r="C2444" s="39" t="s">
        <v>839</v>
      </c>
      <c r="D2444" s="74" t="s">
        <v>1227</v>
      </c>
      <c r="E2444" s="74" t="s">
        <v>1224</v>
      </c>
      <c r="F2444" s="74" t="s">
        <v>1226</v>
      </c>
      <c r="G2444" s="74" t="s">
        <v>1225</v>
      </c>
    </row>
    <row r="2445" spans="1:7" x14ac:dyDescent="0.2">
      <c r="A2445" s="39">
        <v>9932</v>
      </c>
      <c r="B2445" s="38" t="s">
        <v>1556</v>
      </c>
      <c r="C2445" s="39" t="s">
        <v>839</v>
      </c>
      <c r="D2445" s="74" t="s">
        <v>1227</v>
      </c>
      <c r="E2445" s="74" t="s">
        <v>1224</v>
      </c>
      <c r="F2445" s="74" t="s">
        <v>1226</v>
      </c>
      <c r="G2445" s="74" t="s">
        <v>1226</v>
      </c>
    </row>
    <row r="2446" spans="1:7" x14ac:dyDescent="0.2">
      <c r="A2446" s="39">
        <v>9941</v>
      </c>
      <c r="B2446" s="38" t="s">
        <v>1557</v>
      </c>
      <c r="C2446" s="39" t="s">
        <v>839</v>
      </c>
      <c r="D2446" s="74" t="s">
        <v>1227</v>
      </c>
      <c r="E2446" s="74" t="s">
        <v>1224</v>
      </c>
      <c r="F2446" s="74" t="s">
        <v>1226</v>
      </c>
      <c r="G2446" s="74" t="s">
        <v>1226</v>
      </c>
    </row>
    <row r="2447" spans="1:7" x14ac:dyDescent="0.2">
      <c r="A2447" s="39">
        <v>9942</v>
      </c>
      <c r="B2447" s="38" t="s">
        <v>1558</v>
      </c>
      <c r="C2447" s="39" t="s">
        <v>839</v>
      </c>
      <c r="D2447" s="74" t="s">
        <v>1227</v>
      </c>
      <c r="E2447" s="74" t="s">
        <v>1224</v>
      </c>
      <c r="F2447" s="74" t="s">
        <v>1226</v>
      </c>
      <c r="G2447" s="74" t="s">
        <v>1225</v>
      </c>
    </row>
    <row r="2448" spans="1:7" x14ac:dyDescent="0.2">
      <c r="A2448" s="39">
        <v>9943</v>
      </c>
      <c r="B2448" s="38" t="s">
        <v>1559</v>
      </c>
      <c r="C2448" s="39" t="s">
        <v>839</v>
      </c>
      <c r="D2448" s="74" t="s">
        <v>1227</v>
      </c>
      <c r="E2448" s="74" t="s">
        <v>1224</v>
      </c>
      <c r="F2448" s="74" t="s">
        <v>1226</v>
      </c>
      <c r="G2448" s="74" t="s">
        <v>1225</v>
      </c>
    </row>
    <row r="2449" spans="1:7" x14ac:dyDescent="0.2">
      <c r="A2449" s="39">
        <v>9951</v>
      </c>
      <c r="B2449" s="38" t="s">
        <v>1560</v>
      </c>
      <c r="C2449" s="39" t="s">
        <v>839</v>
      </c>
      <c r="D2449" s="74" t="s">
        <v>1227</v>
      </c>
      <c r="E2449" s="74" t="s">
        <v>1224</v>
      </c>
      <c r="F2449" s="74" t="s">
        <v>1226</v>
      </c>
      <c r="G2449" s="74" t="s">
        <v>1226</v>
      </c>
    </row>
    <row r="2450" spans="1:7" x14ac:dyDescent="0.2">
      <c r="A2450" s="39">
        <v>9953</v>
      </c>
      <c r="B2450" s="38" t="s">
        <v>1561</v>
      </c>
      <c r="C2450" s="39" t="s">
        <v>839</v>
      </c>
      <c r="D2450" s="74" t="s">
        <v>406</v>
      </c>
      <c r="E2450" s="74" t="s">
        <v>407</v>
      </c>
      <c r="F2450" s="74" t="s">
        <v>1225</v>
      </c>
      <c r="G2450" s="74" t="s">
        <v>1225</v>
      </c>
    </row>
    <row r="2451" spans="1:7" x14ac:dyDescent="0.2">
      <c r="A2451" s="39">
        <v>9954</v>
      </c>
      <c r="B2451" s="38" t="s">
        <v>1562</v>
      </c>
      <c r="C2451" s="39" t="s">
        <v>839</v>
      </c>
      <c r="D2451" s="74" t="s">
        <v>1227</v>
      </c>
      <c r="E2451" s="74" t="s">
        <v>1224</v>
      </c>
      <c r="F2451" s="74" t="s">
        <v>1226</v>
      </c>
      <c r="G2451" s="74" t="s">
        <v>1225</v>
      </c>
    </row>
    <row r="2452" spans="1:7" x14ac:dyDescent="0.2">
      <c r="A2452" s="39">
        <v>9961</v>
      </c>
      <c r="B2452" s="38" t="s">
        <v>1563</v>
      </c>
      <c r="C2452" s="39" t="s">
        <v>839</v>
      </c>
      <c r="D2452" s="74" t="s">
        <v>1227</v>
      </c>
      <c r="E2452" s="74" t="s">
        <v>1224</v>
      </c>
      <c r="F2452" s="74" t="s">
        <v>1226</v>
      </c>
      <c r="G2452" s="74" t="s">
        <v>1225</v>
      </c>
    </row>
    <row r="2453" spans="1:7" x14ac:dyDescent="0.2">
      <c r="A2453" s="39">
        <v>9962</v>
      </c>
      <c r="B2453" s="38" t="s">
        <v>1564</v>
      </c>
      <c r="C2453" s="39" t="s">
        <v>839</v>
      </c>
      <c r="D2453" s="74" t="s">
        <v>1227</v>
      </c>
      <c r="E2453" s="74" t="s">
        <v>1224</v>
      </c>
      <c r="F2453" s="74" t="s">
        <v>1226</v>
      </c>
      <c r="G2453" s="74" t="s">
        <v>1225</v>
      </c>
    </row>
    <row r="2454" spans="1:7" x14ac:dyDescent="0.2">
      <c r="A2454" s="39">
        <v>9963</v>
      </c>
      <c r="B2454" s="38" t="s">
        <v>1565</v>
      </c>
      <c r="C2454" s="39" t="s">
        <v>839</v>
      </c>
      <c r="D2454" s="74" t="s">
        <v>1227</v>
      </c>
      <c r="E2454" s="74" t="s">
        <v>1224</v>
      </c>
      <c r="F2454" s="74" t="s">
        <v>1226</v>
      </c>
      <c r="G2454" s="74" t="s">
        <v>1226</v>
      </c>
    </row>
    <row r="2455" spans="1:7" x14ac:dyDescent="0.2">
      <c r="A2455" s="39">
        <v>9971</v>
      </c>
      <c r="B2455" s="38" t="s">
        <v>1566</v>
      </c>
      <c r="C2455" s="39" t="s">
        <v>839</v>
      </c>
      <c r="D2455" s="74" t="s">
        <v>1227</v>
      </c>
      <c r="E2455" s="74" t="s">
        <v>1224</v>
      </c>
      <c r="F2455" s="74" t="s">
        <v>1226</v>
      </c>
      <c r="G2455" s="74" t="s">
        <v>1226</v>
      </c>
    </row>
    <row r="2456" spans="1:7" x14ac:dyDescent="0.2">
      <c r="A2456" s="39">
        <v>9972</v>
      </c>
      <c r="B2456" s="38" t="s">
        <v>1567</v>
      </c>
      <c r="C2456" s="39" t="s">
        <v>839</v>
      </c>
      <c r="D2456" s="74" t="s">
        <v>1227</v>
      </c>
      <c r="E2456" s="74" t="s">
        <v>1224</v>
      </c>
      <c r="F2456" s="74" t="s">
        <v>1226</v>
      </c>
      <c r="G2456" s="74" t="s">
        <v>1225</v>
      </c>
    </row>
    <row r="2457" spans="1:7" x14ac:dyDescent="0.2">
      <c r="A2457" s="39">
        <v>9974</v>
      </c>
      <c r="B2457" s="38" t="s">
        <v>1568</v>
      </c>
      <c r="C2457" s="39" t="s">
        <v>839</v>
      </c>
      <c r="D2457" s="74" t="s">
        <v>1227</v>
      </c>
      <c r="E2457" s="74" t="s">
        <v>1224</v>
      </c>
      <c r="F2457" s="74" t="s">
        <v>1226</v>
      </c>
      <c r="G2457" s="74" t="s">
        <v>1225</v>
      </c>
    </row>
    <row r="2458" spans="1:7" x14ac:dyDescent="0.2">
      <c r="A2458" s="39">
        <v>9981</v>
      </c>
      <c r="B2458" s="38" t="s">
        <v>1569</v>
      </c>
      <c r="C2458" s="39" t="s">
        <v>839</v>
      </c>
      <c r="D2458" s="74" t="s">
        <v>1227</v>
      </c>
      <c r="E2458" s="74" t="s">
        <v>1224</v>
      </c>
      <c r="F2458" s="74" t="s">
        <v>1226</v>
      </c>
      <c r="G2458" s="74" t="s">
        <v>1226</v>
      </c>
    </row>
    <row r="2459" spans="1:7" x14ac:dyDescent="0.2">
      <c r="A2459" s="39">
        <v>9990</v>
      </c>
      <c r="B2459" s="38" t="s">
        <v>1570</v>
      </c>
      <c r="C2459" s="39" t="s">
        <v>839</v>
      </c>
      <c r="D2459" s="74" t="s">
        <v>1227</v>
      </c>
      <c r="E2459" s="74" t="s">
        <v>1224</v>
      </c>
      <c r="F2459" s="74" t="s">
        <v>1226</v>
      </c>
      <c r="G2459" s="74" t="s">
        <v>1226</v>
      </c>
    </row>
    <row r="2460" spans="1:7" x14ac:dyDescent="0.2">
      <c r="A2460" s="39">
        <v>9991</v>
      </c>
      <c r="B2460" s="38" t="s">
        <v>1571</v>
      </c>
      <c r="C2460" s="39" t="s">
        <v>839</v>
      </c>
      <c r="D2460" s="74" t="s">
        <v>1227</v>
      </c>
      <c r="E2460" s="74" t="s">
        <v>1224</v>
      </c>
      <c r="F2460" s="74" t="s">
        <v>1226</v>
      </c>
      <c r="G2460" s="74" t="s">
        <v>1225</v>
      </c>
    </row>
  </sheetData>
  <sheetProtection password="CC61" sheet="1" objects="1" scenarios="1" selectLockedCells="1" selectUnlockedCells="1"/>
  <phoneticPr fontId="0" type="noConversion"/>
  <pageMargins left="0.78740157499999996" right="0.78740157499999996" top="0.984251969" bottom="0.984251969" header="0.4921259845" footer="0.4921259845"/>
  <pageSetup paperSize="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20</vt:i4>
      </vt:variant>
    </vt:vector>
  </HeadingPairs>
  <TitlesOfParts>
    <vt:vector size="34" baseType="lpstr">
      <vt:lpstr>Aktualisierungen</vt:lpstr>
      <vt:lpstr>Erläuterungen</vt:lpstr>
      <vt:lpstr>Eingabe</vt:lpstr>
      <vt:lpstr>Daten-Elektrofahrzeug</vt:lpstr>
      <vt:lpstr>Daten-Benzin-Dieselfahrzeug</vt:lpstr>
      <vt:lpstr>Berechnungen</vt:lpstr>
      <vt:lpstr>Förderungen</vt:lpstr>
      <vt:lpstr>Wetterdaten</vt:lpstr>
      <vt:lpstr>PLZ-Zuordnung</vt:lpstr>
      <vt:lpstr>Strompreis</vt:lpstr>
      <vt:lpstr>Motorbez. Versicherungssteuer</vt:lpstr>
      <vt:lpstr>Enamo-Tarif</vt:lpstr>
      <vt:lpstr>topprodukte-elektro</vt:lpstr>
      <vt:lpstr>topprodukte-benzin-diesel</vt:lpstr>
      <vt:lpstr>Aktualisierungen!Druckbereich</vt:lpstr>
      <vt:lpstr>Berechnungen!Druckbereich</vt:lpstr>
      <vt:lpstr>'Daten-Benzin-Dieselfahrzeug'!Druckbereich</vt:lpstr>
      <vt:lpstr>'Daten-Elektrofahrzeug'!Druckbereich</vt:lpstr>
      <vt:lpstr>Eingabe!Druckbereich</vt:lpstr>
      <vt:lpstr>Erläuterungen!Druckbereich</vt:lpstr>
      <vt:lpstr>Förderungen!Druckbereich</vt:lpstr>
      <vt:lpstr>'PLZ-Zuordnung'!Druckbereich</vt:lpstr>
      <vt:lpstr>Strompreis!Druckbereich</vt:lpstr>
      <vt:lpstr>Wetterdaten!Druckbereich</vt:lpstr>
      <vt:lpstr>Nummern</vt:lpstr>
      <vt:lpstr>Aktualisierungen!OLE_LINK1</vt:lpstr>
      <vt:lpstr>Aktualisierungen!OLE_LINK15</vt:lpstr>
      <vt:lpstr>Förderungen!OLE_LINK17</vt:lpstr>
      <vt:lpstr>Aktualisierungen!OLE_LINK27</vt:lpstr>
      <vt:lpstr>Aktualisierungen!OLE_LINK3</vt:lpstr>
      <vt:lpstr>Erläuterungen!OLE_LINK3</vt:lpstr>
      <vt:lpstr>Eingabe!OLE_LINK38</vt:lpstr>
      <vt:lpstr>Erläuterungen!OLE_LINK4</vt:lpstr>
      <vt:lpstr>Erläuterungen!OLE_LINK8</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JETZINGER Franz</cp:lastModifiedBy>
  <cp:lastPrinted>2020-09-18T07:03:20Z</cp:lastPrinted>
  <dcterms:created xsi:type="dcterms:W3CDTF">1996-10-17T05:27:31Z</dcterms:created>
  <dcterms:modified xsi:type="dcterms:W3CDTF">2021-03-30T11:33:06Z</dcterms:modified>
</cp:coreProperties>
</file>